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315" windowHeight="7965"/>
  </bookViews>
  <sheets>
    <sheet name="ELSAN" sheetId="2" r:id="rId1"/>
    <sheet name="INGESAN Y SAD" sheetId="1" r:id="rId2"/>
  </sheets>
  <externalReferences>
    <externalReference r:id="rId3"/>
    <externalReference r:id="rId4"/>
  </externalReferences>
  <definedNames>
    <definedName name="_xlnm.Print_Area" localSheetId="0">ELSAN!$A$1:$O$51</definedName>
    <definedName name="_xlnm.Print_Area" localSheetId="1">'INGESAN Y SAD'!$A$3:$O$44</definedName>
    <definedName name="Print_Area_0" localSheetId="0">ELSAN!$A$1:$O$51</definedName>
    <definedName name="Print_Area_0" localSheetId="1">'INGESAN Y SAD'!$A$3:$O$44</definedName>
    <definedName name="Print_Area_0_0" localSheetId="1">'INGESAN Y SAD'!$A$3:$O$44</definedName>
  </definedNames>
  <calcPr calcId="125725" iterateDelta="1E-4"/>
</workbook>
</file>

<file path=xl/calcChain.xml><?xml version="1.0" encoding="utf-8"?>
<calcChain xmlns="http://schemas.openxmlformats.org/spreadsheetml/2006/main">
  <c r="C55" i="2"/>
  <c r="D34"/>
  <c r="B34"/>
  <c r="B33"/>
  <c r="C60" s="1"/>
  <c r="G32"/>
  <c r="C32"/>
  <c r="G31"/>
  <c r="F31"/>
  <c r="D31"/>
  <c r="C31"/>
  <c r="B31"/>
  <c r="G30"/>
  <c r="C30"/>
  <c r="G29"/>
  <c r="C29"/>
  <c r="C28"/>
  <c r="F27"/>
  <c r="D27"/>
  <c r="C27"/>
  <c r="B27"/>
  <c r="F26"/>
  <c r="D26"/>
  <c r="C26"/>
  <c r="B26"/>
  <c r="C59" s="1"/>
  <c r="C25"/>
  <c r="E24"/>
  <c r="C24"/>
  <c r="E23"/>
  <c r="C23"/>
  <c r="E22"/>
  <c r="C22"/>
  <c r="E21"/>
  <c r="D21"/>
  <c r="C21"/>
  <c r="E20"/>
  <c r="C20"/>
  <c r="C54" s="1"/>
  <c r="E19"/>
  <c r="C19"/>
  <c r="F18"/>
  <c r="E18"/>
  <c r="C18"/>
  <c r="B18"/>
  <c r="F17"/>
  <c r="E17"/>
  <c r="D17"/>
  <c r="C17"/>
  <c r="B17"/>
  <c r="G16"/>
  <c r="G44" s="1"/>
  <c r="M50" s="1"/>
  <c r="E16"/>
  <c r="D16"/>
  <c r="C16"/>
  <c r="E15"/>
  <c r="C15"/>
  <c r="F14"/>
  <c r="F44" s="1"/>
  <c r="F46" s="1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D44" s="1"/>
  <c r="C10"/>
  <c r="B10"/>
  <c r="B44" s="1"/>
  <c r="E9"/>
  <c r="C9"/>
  <c r="J8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E8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C8"/>
  <c r="C53" s="1"/>
  <c r="K7"/>
  <c r="D43" i="1"/>
  <c r="G34"/>
  <c r="G33"/>
  <c r="F33"/>
  <c r="G32"/>
  <c r="C32"/>
  <c r="B32"/>
  <c r="G31"/>
  <c r="F31"/>
  <c r="B54" s="1"/>
  <c r="E31"/>
  <c r="C31"/>
  <c r="B49" s="1"/>
  <c r="G30"/>
  <c r="F30"/>
  <c r="E30"/>
  <c r="C30"/>
  <c r="B30"/>
  <c r="G29"/>
  <c r="E29"/>
  <c r="C29"/>
  <c r="G28"/>
  <c r="F28"/>
  <c r="E28"/>
  <c r="C28"/>
  <c r="G27"/>
  <c r="E27"/>
  <c r="C27"/>
  <c r="G26"/>
  <c r="F26"/>
  <c r="E26"/>
  <c r="C26"/>
  <c r="G25"/>
  <c r="F25"/>
  <c r="E25"/>
  <c r="B25"/>
  <c r="G24"/>
  <c r="E24"/>
  <c r="C24"/>
  <c r="G23"/>
  <c r="F23"/>
  <c r="E23"/>
  <c r="E43" s="1"/>
  <c r="J47" s="1"/>
  <c r="C23"/>
  <c r="G22"/>
  <c r="F22"/>
  <c r="C22"/>
  <c r="G21"/>
  <c r="C21"/>
  <c r="G20"/>
  <c r="F20"/>
  <c r="C20"/>
  <c r="B20"/>
  <c r="B53" s="1"/>
  <c r="G19"/>
  <c r="F19"/>
  <c r="C19"/>
  <c r="B48" s="1"/>
  <c r="G18"/>
  <c r="F18"/>
  <c r="C18"/>
  <c r="G17"/>
  <c r="F17"/>
  <c r="C17"/>
  <c r="G16"/>
  <c r="C16"/>
  <c r="G15"/>
  <c r="F15"/>
  <c r="C15"/>
  <c r="G14"/>
  <c r="G43" s="1"/>
  <c r="J48" s="1"/>
  <c r="F14"/>
  <c r="C14"/>
  <c r="C13"/>
  <c r="F12"/>
  <c r="C12"/>
  <c r="F11"/>
  <c r="C11"/>
  <c r="C10"/>
  <c r="F9"/>
  <c r="C9"/>
  <c r="F8"/>
  <c r="C8"/>
  <c r="I7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F7"/>
  <c r="B52" s="1"/>
  <c r="B55" s="1"/>
  <c r="C7"/>
  <c r="B47" s="1"/>
  <c r="B50" s="1"/>
  <c r="C56" s="1"/>
  <c r="K6"/>
  <c r="L6" s="1"/>
  <c r="M6" s="1"/>
  <c r="N6" s="1"/>
  <c r="O6" s="1"/>
  <c r="C56" i="2" l="1"/>
  <c r="H8"/>
  <c r="C44"/>
  <c r="M49" s="1"/>
  <c r="E44"/>
  <c r="M48" s="1"/>
  <c r="M51" s="1"/>
  <c r="L7" s="1"/>
  <c r="M7" s="1"/>
  <c r="N7" s="1"/>
  <c r="O7" s="1"/>
  <c r="C58"/>
  <c r="C61" s="1"/>
  <c r="H7" i="1"/>
  <c r="J7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B43"/>
  <c r="F43"/>
  <c r="C43"/>
  <c r="J46" s="1"/>
  <c r="J50" s="1"/>
  <c r="D46" i="2" l="1"/>
  <c r="E61"/>
  <c r="K8"/>
  <c r="L8" s="1"/>
  <c r="M8" s="1"/>
  <c r="N8" s="1"/>
  <c r="O8" s="1"/>
  <c r="H9"/>
  <c r="B46"/>
  <c r="H8" i="1"/>
  <c r="K7"/>
  <c r="L7" s="1"/>
  <c r="M7" s="1"/>
  <c r="N7" s="1"/>
  <c r="O7" s="1"/>
  <c r="K9" i="2" l="1"/>
  <c r="L9" s="1"/>
  <c r="M9" s="1"/>
  <c r="N9" s="1"/>
  <c r="O9" s="1"/>
  <c r="H10"/>
  <c r="H9" i="1"/>
  <c r="K8"/>
  <c r="L8" s="1"/>
  <c r="M8" s="1"/>
  <c r="N8" s="1"/>
  <c r="O8" s="1"/>
  <c r="K10" i="2" l="1"/>
  <c r="L10" s="1"/>
  <c r="M10" s="1"/>
  <c r="N10" s="1"/>
  <c r="O10" s="1"/>
  <c r="H11"/>
  <c r="H10" i="1"/>
  <c r="K9"/>
  <c r="L9" s="1"/>
  <c r="M9" s="1"/>
  <c r="N9" s="1"/>
  <c r="O9" s="1"/>
  <c r="K11" i="2" l="1"/>
  <c r="L11" s="1"/>
  <c r="M11" s="1"/>
  <c r="N11" s="1"/>
  <c r="O11" s="1"/>
  <c r="H12"/>
  <c r="K10" i="1"/>
  <c r="L10" s="1"/>
  <c r="M10" s="1"/>
  <c r="N10" s="1"/>
  <c r="O10" s="1"/>
  <c r="H11"/>
  <c r="K12" i="2" l="1"/>
  <c r="L12" s="1"/>
  <c r="M12" s="1"/>
  <c r="N12" s="1"/>
  <c r="O12" s="1"/>
  <c r="H13"/>
  <c r="K11" i="1"/>
  <c r="L11" s="1"/>
  <c r="M11" s="1"/>
  <c r="N11" s="1"/>
  <c r="O11" s="1"/>
  <c r="H12"/>
  <c r="H14" i="2" l="1"/>
  <c r="K13"/>
  <c r="L13" s="1"/>
  <c r="M13" s="1"/>
  <c r="N13" s="1"/>
  <c r="O13" s="1"/>
  <c r="H13" i="1"/>
  <c r="K12"/>
  <c r="L12" s="1"/>
  <c r="M12" s="1"/>
  <c r="N12" s="1"/>
  <c r="O12" s="1"/>
  <c r="H15" i="2" l="1"/>
  <c r="K14"/>
  <c r="L14" s="1"/>
  <c r="M14" s="1"/>
  <c r="N14" s="1"/>
  <c r="O14" s="1"/>
  <c r="H14" i="1"/>
  <c r="K13"/>
  <c r="L13" s="1"/>
  <c r="M13" s="1"/>
  <c r="N13" s="1"/>
  <c r="O13" s="1"/>
  <c r="H16" i="2" l="1"/>
  <c r="K15"/>
  <c r="L15" s="1"/>
  <c r="M15" s="1"/>
  <c r="N15" s="1"/>
  <c r="O15" s="1"/>
  <c r="H15" i="1"/>
  <c r="K14"/>
  <c r="L14" s="1"/>
  <c r="M14" s="1"/>
  <c r="N14" s="1"/>
  <c r="O14" s="1"/>
  <c r="H17" i="2" l="1"/>
  <c r="K16"/>
  <c r="L16" s="1"/>
  <c r="M16" s="1"/>
  <c r="N16" s="1"/>
  <c r="O16" s="1"/>
  <c r="H16" i="1"/>
  <c r="K15"/>
  <c r="L15" s="1"/>
  <c r="M15" s="1"/>
  <c r="N15" s="1"/>
  <c r="O15" s="1"/>
  <c r="K17" i="2" l="1"/>
  <c r="L17" s="1"/>
  <c r="M17" s="1"/>
  <c r="N17" s="1"/>
  <c r="O17" s="1"/>
  <c r="H18"/>
  <c r="H17" i="1"/>
  <c r="K16"/>
  <c r="L16" s="1"/>
  <c r="M16" s="1"/>
  <c r="N16" s="1"/>
  <c r="O16" s="1"/>
  <c r="K18" i="2" l="1"/>
  <c r="L18" s="1"/>
  <c r="M18" s="1"/>
  <c r="N18" s="1"/>
  <c r="O18" s="1"/>
  <c r="H19"/>
  <c r="H18" i="1"/>
  <c r="K17"/>
  <c r="L17" s="1"/>
  <c r="M17" s="1"/>
  <c r="N17" s="1"/>
  <c r="O17" s="1"/>
  <c r="K19" i="2" l="1"/>
  <c r="L19" s="1"/>
  <c r="M19" s="1"/>
  <c r="N19" s="1"/>
  <c r="O19" s="1"/>
  <c r="H20"/>
  <c r="H19" i="1"/>
  <c r="K18"/>
  <c r="L18" s="1"/>
  <c r="M18" s="1"/>
  <c r="N18" s="1"/>
  <c r="O18" s="1"/>
  <c r="H21" i="2" l="1"/>
  <c r="K20"/>
  <c r="L20" s="1"/>
  <c r="M20" s="1"/>
  <c r="N20" s="1"/>
  <c r="O20" s="1"/>
  <c r="K19" i="1"/>
  <c r="L19" s="1"/>
  <c r="M19" s="1"/>
  <c r="N19" s="1"/>
  <c r="O19" s="1"/>
  <c r="H20"/>
  <c r="H22" i="2" l="1"/>
  <c r="K21"/>
  <c r="L21" s="1"/>
  <c r="M21" s="1"/>
  <c r="N21" s="1"/>
  <c r="O21" s="1"/>
  <c r="K20" i="1"/>
  <c r="L20" s="1"/>
  <c r="M20" s="1"/>
  <c r="N20" s="1"/>
  <c r="O20" s="1"/>
  <c r="H21"/>
  <c r="H23" i="2" l="1"/>
  <c r="K22"/>
  <c r="L22" s="1"/>
  <c r="M22" s="1"/>
  <c r="N22" s="1"/>
  <c r="O22" s="1"/>
  <c r="H22" i="1"/>
  <c r="K21"/>
  <c r="L21" s="1"/>
  <c r="M21" s="1"/>
  <c r="N21" s="1"/>
  <c r="O21" s="1"/>
  <c r="H24" i="2" l="1"/>
  <c r="K23"/>
  <c r="L23" s="1"/>
  <c r="M23" s="1"/>
  <c r="N23" s="1"/>
  <c r="O23" s="1"/>
  <c r="H23" i="1"/>
  <c r="K22"/>
  <c r="L22" s="1"/>
  <c r="M22" s="1"/>
  <c r="N22" s="1"/>
  <c r="O22" s="1"/>
  <c r="H25" i="2" l="1"/>
  <c r="K24"/>
  <c r="L24" s="1"/>
  <c r="M24" s="1"/>
  <c r="N24" s="1"/>
  <c r="O24" s="1"/>
  <c r="H24" i="1"/>
  <c r="K23"/>
  <c r="L23" s="1"/>
  <c r="M23" s="1"/>
  <c r="N23" s="1"/>
  <c r="O23" s="1"/>
  <c r="K25" i="2" l="1"/>
  <c r="L25" s="1"/>
  <c r="M25" s="1"/>
  <c r="N25" s="1"/>
  <c r="O25" s="1"/>
  <c r="H26"/>
  <c r="K24" i="1"/>
  <c r="L24" s="1"/>
  <c r="M24" s="1"/>
  <c r="N24" s="1"/>
  <c r="O24" s="1"/>
  <c r="H25"/>
  <c r="K26" i="2" l="1"/>
  <c r="L26" s="1"/>
  <c r="M26" s="1"/>
  <c r="N26" s="1"/>
  <c r="O26" s="1"/>
  <c r="H27"/>
  <c r="K25" i="1"/>
  <c r="L25" s="1"/>
  <c r="M25" s="1"/>
  <c r="N25" s="1"/>
  <c r="O25" s="1"/>
  <c r="H26"/>
  <c r="H28" i="2" l="1"/>
  <c r="K27"/>
  <c r="L27" s="1"/>
  <c r="M27" s="1"/>
  <c r="N27" s="1"/>
  <c r="O27" s="1"/>
  <c r="H27" i="1"/>
  <c r="K26"/>
  <c r="L26" s="1"/>
  <c r="M26" s="1"/>
  <c r="N26" s="1"/>
  <c r="O26" s="1"/>
  <c r="H29" i="2" l="1"/>
  <c r="K28"/>
  <c r="L28" s="1"/>
  <c r="M28" s="1"/>
  <c r="N28" s="1"/>
  <c r="O28" s="1"/>
  <c r="H28" i="1"/>
  <c r="K27"/>
  <c r="L27" s="1"/>
  <c r="M27" s="1"/>
  <c r="N27" s="1"/>
  <c r="O27" s="1"/>
  <c r="H30" i="2" l="1"/>
  <c r="K29"/>
  <c r="L29" s="1"/>
  <c r="M29" s="1"/>
  <c r="N29" s="1"/>
  <c r="O29" s="1"/>
  <c r="H29" i="1"/>
  <c r="K28"/>
  <c r="L28" s="1"/>
  <c r="M28" s="1"/>
  <c r="N28" s="1"/>
  <c r="O28" s="1"/>
  <c r="H31" i="2" l="1"/>
  <c r="K30"/>
  <c r="L30" s="1"/>
  <c r="M30" s="1"/>
  <c r="N30" s="1"/>
  <c r="O30" s="1"/>
  <c r="H30" i="1"/>
  <c r="K29"/>
  <c r="L29" s="1"/>
  <c r="M29" s="1"/>
  <c r="N29" s="1"/>
  <c r="O29" s="1"/>
  <c r="K31" i="2" l="1"/>
  <c r="L31" s="1"/>
  <c r="M31" s="1"/>
  <c r="N31" s="1"/>
  <c r="O31" s="1"/>
  <c r="H32"/>
  <c r="H31" i="1"/>
  <c r="K30"/>
  <c r="L30" s="1"/>
  <c r="M30" s="1"/>
  <c r="N30" s="1"/>
  <c r="O30" s="1"/>
  <c r="H33" i="2" l="1"/>
  <c r="K32"/>
  <c r="L32" s="1"/>
  <c r="M32" s="1"/>
  <c r="N32" s="1"/>
  <c r="O32" s="1"/>
  <c r="H32" i="1"/>
  <c r="K31"/>
  <c r="L31" s="1"/>
  <c r="M31" s="1"/>
  <c r="N31" s="1"/>
  <c r="O31" s="1"/>
  <c r="H34" i="2" l="1"/>
  <c r="K34" s="1"/>
  <c r="L34" s="1"/>
  <c r="M34" s="1"/>
  <c r="N34" s="1"/>
  <c r="O34" s="1"/>
  <c r="K33"/>
  <c r="L33" s="1"/>
  <c r="M33" s="1"/>
  <c r="N33" s="1"/>
  <c r="O33" s="1"/>
  <c r="K32" i="1"/>
  <c r="L32" s="1"/>
  <c r="M32" s="1"/>
  <c r="N32" s="1"/>
  <c r="O32" s="1"/>
  <c r="H33"/>
  <c r="H34" l="1"/>
  <c r="K34" s="1"/>
  <c r="L34" s="1"/>
  <c r="M34" s="1"/>
  <c r="N34" s="1"/>
  <c r="O34" s="1"/>
  <c r="K33"/>
  <c r="L33" s="1"/>
  <c r="M33" s="1"/>
  <c r="N33" s="1"/>
  <c r="O33" s="1"/>
</calcChain>
</file>

<file path=xl/sharedStrings.xml><?xml version="1.0" encoding="utf-8"?>
<sst xmlns="http://schemas.openxmlformats.org/spreadsheetml/2006/main" count="94" uniqueCount="85">
  <si>
    <t>SITUACIÓN INGESÁN Y UTE SAD JEREZ. EJERCICIO 2014-2016</t>
  </si>
  <si>
    <t>FECHA</t>
  </si>
  <si>
    <t>PAGO LIMPIEZA INGESAN</t>
  </si>
  <si>
    <t>FACTURACION LIMPIEZA</t>
  </si>
  <si>
    <t>PAGO ALUMBRADO INGESAN</t>
  </si>
  <si>
    <t>FACTURACION ALUMBRADO</t>
  </si>
  <si>
    <t>AYUDA DOMICILIO PAGOS UTE SAD</t>
  </si>
  <si>
    <t>FACTURACION AYUDA DOMICILIO</t>
  </si>
  <si>
    <t>SALDO DEUDA LIMPIEZA</t>
  </si>
  <si>
    <t>SALDO DEUDA ALUMBRADO</t>
  </si>
  <si>
    <t>SALDO DEUDA SAD</t>
  </si>
  <si>
    <t>SALDO TOTAL</t>
  </si>
  <si>
    <t>DEUDA VENCIDA</t>
  </si>
  <si>
    <t>MESES</t>
  </si>
  <si>
    <t>DIAS LEGALES DEMORA</t>
  </si>
  <si>
    <t>DIAS DEMORA FECHA FACTURA</t>
  </si>
  <si>
    <t>FACTURACION</t>
  </si>
  <si>
    <t>AÑOS ANTERIORES</t>
  </si>
  <si>
    <t>LIMPIEZA</t>
  </si>
  <si>
    <t>ALUMBRADO</t>
  </si>
  <si>
    <t>SAD</t>
  </si>
  <si>
    <t>TOTAL FACTURACION</t>
  </si>
  <si>
    <t>PAGOS</t>
  </si>
  <si>
    <t>anotacion Juanlu</t>
  </si>
  <si>
    <t>GAZAPOS</t>
  </si>
  <si>
    <t>(QUE NO SIRVEN PARA NADA CREO (MARIA))</t>
  </si>
  <si>
    <t>pago de mayo SAD lo teniamos duplicado</t>
  </si>
  <si>
    <t>quitado del saldo de la deuda y en la prevision de mayo</t>
  </si>
  <si>
    <t>No incluida la facturacion de abril de SAD</t>
  </si>
  <si>
    <t>En limpieza no sumaba la primera O de cerrado</t>
  </si>
  <si>
    <t>SITUACIÓN ELSAN</t>
  </si>
  <si>
    <t>IMPORTE PAGO JARDINES</t>
  </si>
  <si>
    <t>FACTURACIÓN JARDINES</t>
  </si>
  <si>
    <t>PAGO ALUMBRADO</t>
  </si>
  <si>
    <t>FACTURACIÓN ALUMBRADO</t>
  </si>
  <si>
    <t>PAGO BARRIADAS</t>
  </si>
  <si>
    <t>FACTURACIÓN BARRIADAS RURALES LIMPIEZA</t>
  </si>
  <si>
    <t>SALDO DEUDA JARDINES</t>
  </si>
  <si>
    <t>SALDO DEUDA BARRIADAS RURALES LIMPIEZA</t>
  </si>
  <si>
    <t>DIAS</t>
  </si>
  <si>
    <t>DIAS DESDE FECHA FRA.</t>
  </si>
  <si>
    <t>Sd. 31/12/2013</t>
  </si>
  <si>
    <t>ENERO 14</t>
  </si>
  <si>
    <t>FEBRERO 14</t>
  </si>
  <si>
    <t>MARZO 14</t>
  </si>
  <si>
    <t>ABRIL 14</t>
  </si>
  <si>
    <t>MAYO 14</t>
  </si>
  <si>
    <t>JUNIO 14</t>
  </si>
  <si>
    <t>JULIO 14</t>
  </si>
  <si>
    <t>AGOSTO 14</t>
  </si>
  <si>
    <t>SEPTIEMBRE 14</t>
  </si>
  <si>
    <t>OCTUBRE 14</t>
  </si>
  <si>
    <t>NOVIEMBRE 14</t>
  </si>
  <si>
    <t>DICIEMBRE 14</t>
  </si>
  <si>
    <t>ENERO 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</si>
  <si>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</si>
  <si>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</si>
  <si>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</si>
  <si>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</si>
  <si>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</si>
  <si>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</si>
  <si>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</si>
  <si>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</si>
  <si>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</si>
  <si>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</si>
  <si>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</si>
  <si>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16</t>
  </si>
  <si>
    <t>FEBRERO 16</t>
  </si>
  <si>
    <t>MARZO 16</t>
  </si>
  <si>
    <t>ABRIL 16</t>
  </si>
  <si>
    <t>MAYO 16</t>
  </si>
  <si>
    <t>JUNIO 16</t>
  </si>
  <si>
    <t>JULIO 16</t>
  </si>
  <si>
    <t>AGOSTO 16</t>
  </si>
  <si>
    <t>SEPTIEMBRE 16</t>
  </si>
  <si>
    <t>OCTUBRE 16</t>
  </si>
  <si>
    <t>NOVIEMBRE 16</t>
  </si>
  <si>
    <t>DICIEMBRE 16</t>
  </si>
  <si>
    <t>% cobros</t>
  </si>
  <si>
    <t>JARDINES</t>
  </si>
  <si>
    <t>BBRR</t>
  </si>
  <si>
    <t>MENSUAL</t>
  </si>
  <si>
    <t>ANTERIORES</t>
  </si>
  <si>
    <t>TOTAL FACTURACIÓN</t>
  </si>
  <si>
    <t>TOTAL PAGOS</t>
  </si>
</sst>
</file>

<file path=xl/styles.xml><?xml version="1.0" encoding="utf-8"?>
<styleSheet xmlns="http://schemas.openxmlformats.org/spreadsheetml/2006/main">
  <numFmts count="2">
    <numFmt numFmtId="164" formatCode="#.##000"/>
    <numFmt numFmtId="165" formatCode="mmmm\-yy;@"/>
  </numFmts>
  <fonts count="14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0"/>
      <color rgb="FFFFFFFF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DEADA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rgb="FFDCE6F2"/>
        <bgColor rgb="FFEBF1DE"/>
      </patternFill>
    </fill>
    <fill>
      <patternFill patternType="solid">
        <fgColor rgb="FFFFC000"/>
        <bgColor rgb="FFFF9900"/>
      </patternFill>
    </fill>
    <fill>
      <patternFill patternType="solid">
        <fgColor rgb="FFDCE6F2"/>
        <bgColor rgb="FFEAF1DD"/>
      </patternFill>
    </fill>
    <fill>
      <patternFill patternType="solid">
        <fgColor rgb="FFEAF1DD"/>
        <bgColor rgb="FFEBF1DE"/>
      </patternFill>
    </fill>
    <fill>
      <patternFill patternType="solid">
        <fgColor rgb="FFEBF1DE"/>
        <bgColor rgb="FFEAF1DD"/>
      </patternFill>
    </fill>
    <fill>
      <patternFill patternType="solid">
        <fgColor rgb="FFFAC090"/>
        <bgColor rgb="FFC0C0C0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1" fontId="0" fillId="3" borderId="0" xfId="0" applyNumberFormat="1" applyFill="1"/>
    <xf numFmtId="4" fontId="0" fillId="4" borderId="0" xfId="0" applyNumberFormat="1" applyFill="1"/>
    <xf numFmtId="1" fontId="0" fillId="5" borderId="0" xfId="0" applyNumberFormat="1" applyFill="1"/>
    <xf numFmtId="4" fontId="0" fillId="5" borderId="0" xfId="0" applyNumberFormat="1" applyFill="1"/>
    <xf numFmtId="4" fontId="0" fillId="3" borderId="0" xfId="0" applyNumberFormat="1" applyFill="1"/>
    <xf numFmtId="4" fontId="0" fillId="6" borderId="0" xfId="0" applyNumberFormat="1" applyFill="1" applyBorder="1"/>
    <xf numFmtId="4" fontId="0" fillId="0" borderId="0" xfId="0" applyNumberFormat="1"/>
    <xf numFmtId="2" fontId="0" fillId="0" borderId="0" xfId="0" applyNumberFormat="1" applyAlignment="1">
      <alignment horizontal="center"/>
    </xf>
    <xf numFmtId="1" fontId="0" fillId="0" borderId="0" xfId="0" applyNumberFormat="1"/>
    <xf numFmtId="165" fontId="0" fillId="0" borderId="0" xfId="0" applyNumberFormat="1" applyAlignment="1">
      <alignment horizontal="left"/>
    </xf>
    <xf numFmtId="4" fontId="5" fillId="3" borderId="0" xfId="0" applyNumberFormat="1" applyFont="1" applyFill="1" applyBorder="1"/>
    <xf numFmtId="4" fontId="0" fillId="5" borderId="0" xfId="0" applyNumberFormat="1" applyFont="1" applyFill="1"/>
    <xf numFmtId="4" fontId="0" fillId="3" borderId="0" xfId="0" applyNumberFormat="1" applyFill="1" applyBorder="1"/>
    <xf numFmtId="4" fontId="0" fillId="5" borderId="0" xfId="0" applyNumberFormat="1" applyFill="1" applyBorder="1"/>
    <xf numFmtId="4" fontId="0" fillId="5" borderId="0" xfId="0" applyNumberFormat="1" applyFont="1" applyFill="1" applyBorder="1"/>
    <xf numFmtId="2" fontId="0" fillId="0" borderId="0" xfId="0" applyNumberFormat="1" applyBorder="1" applyAlignment="1">
      <alignment horizontal="center"/>
    </xf>
    <xf numFmtId="1" fontId="0" fillId="0" borderId="0" xfId="0" applyNumberFormat="1" applyBorder="1"/>
    <xf numFmtId="0" fontId="0" fillId="0" borderId="0" xfId="0" applyBorder="1"/>
    <xf numFmtId="17" fontId="6" fillId="2" borderId="0" xfId="0" applyNumberFormat="1" applyFont="1" applyFill="1"/>
    <xf numFmtId="4" fontId="3" fillId="2" borderId="0" xfId="0" applyNumberFormat="1" applyFont="1" applyFill="1"/>
    <xf numFmtId="4" fontId="6" fillId="2" borderId="0" xfId="0" applyNumberFormat="1" applyFont="1" applyFill="1"/>
    <xf numFmtId="164" fontId="6" fillId="2" borderId="0" xfId="0" applyNumberFormat="1" applyFont="1" applyFill="1"/>
    <xf numFmtId="164" fontId="0" fillId="0" borderId="0" xfId="0" applyNumberFormat="1"/>
    <xf numFmtId="4" fontId="7" fillId="0" borderId="0" xfId="0" applyNumberFormat="1" applyFont="1"/>
    <xf numFmtId="4" fontId="8" fillId="0" borderId="0" xfId="0" applyNumberFormat="1" applyFont="1"/>
    <xf numFmtId="4" fontId="0" fillId="0" borderId="0" xfId="0" applyNumberFormat="1" applyFont="1"/>
    <xf numFmtId="0" fontId="7" fillId="0" borderId="0" xfId="0" applyFont="1"/>
    <xf numFmtId="4" fontId="9" fillId="0" borderId="0" xfId="0" applyNumberFormat="1" applyFont="1"/>
    <xf numFmtId="4" fontId="1" fillId="0" borderId="0" xfId="0" applyNumberFormat="1" applyFont="1"/>
    <xf numFmtId="1" fontId="10" fillId="0" borderId="0" xfId="0" applyNumberFormat="1" applyFont="1"/>
    <xf numFmtId="14" fontId="0" fillId="0" borderId="0" xfId="0" applyNumberFormat="1"/>
    <xf numFmtId="0" fontId="11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7" borderId="7" xfId="0" applyFill="1" applyBorder="1"/>
    <xf numFmtId="1" fontId="0" fillId="7" borderId="8" xfId="0" applyNumberFormat="1" applyFill="1" applyBorder="1"/>
    <xf numFmtId="1" fontId="0" fillId="3" borderId="7" xfId="0" applyNumberFormat="1" applyFill="1" applyBorder="1"/>
    <xf numFmtId="164" fontId="0" fillId="3" borderId="8" xfId="0" applyNumberFormat="1" applyFill="1" applyBorder="1"/>
    <xf numFmtId="4" fontId="0" fillId="8" borderId="9" xfId="0" applyNumberFormat="1" applyFill="1" applyBorder="1"/>
    <xf numFmtId="4" fontId="0" fillId="8" borderId="10" xfId="0" applyNumberFormat="1" applyFill="1" applyBorder="1"/>
    <xf numFmtId="4" fontId="0" fillId="7" borderId="11" xfId="0" applyNumberFormat="1" applyFill="1" applyBorder="1"/>
    <xf numFmtId="4" fontId="0" fillId="9" borderId="12" xfId="0" applyNumberFormat="1" applyFill="1" applyBorder="1"/>
    <xf numFmtId="4" fontId="1" fillId="10" borderId="7" xfId="0" applyNumberFormat="1" applyFont="1" applyFill="1" applyBorder="1"/>
    <xf numFmtId="4" fontId="0" fillId="0" borderId="8" xfId="0" applyNumberFormat="1" applyBorder="1"/>
    <xf numFmtId="2" fontId="0" fillId="0" borderId="12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49" fontId="0" fillId="0" borderId="0" xfId="0" applyNumberFormat="1" applyFont="1" applyAlignment="1">
      <alignment horizontal="left"/>
    </xf>
    <xf numFmtId="4" fontId="0" fillId="7" borderId="7" xfId="0" applyNumberFormat="1" applyFill="1" applyBorder="1"/>
    <xf numFmtId="4" fontId="0" fillId="7" borderId="8" xfId="0" applyNumberFormat="1" applyFill="1" applyBorder="1"/>
    <xf numFmtId="4" fontId="0" fillId="3" borderId="7" xfId="0" applyNumberFormat="1" applyFill="1" applyBorder="1"/>
    <xf numFmtId="4" fontId="0" fillId="3" borderId="8" xfId="0" applyNumberFormat="1" applyFill="1" applyBorder="1"/>
    <xf numFmtId="4" fontId="0" fillId="8" borderId="7" xfId="0" applyNumberFormat="1" applyFill="1" applyBorder="1"/>
    <xf numFmtId="4" fontId="0" fillId="8" borderId="8" xfId="0" applyNumberFormat="1" applyFill="1" applyBorder="1"/>
    <xf numFmtId="4" fontId="0" fillId="7" borderId="12" xfId="0" applyNumberFormat="1" applyFill="1" applyBorder="1"/>
    <xf numFmtId="4" fontId="0" fillId="8" borderId="12" xfId="0" applyNumberFormat="1" applyFill="1" applyBorder="1"/>
    <xf numFmtId="4" fontId="5" fillId="7" borderId="8" xfId="0" applyNumberFormat="1" applyFont="1" applyFill="1" applyBorder="1"/>
    <xf numFmtId="4" fontId="5" fillId="3" borderId="8" xfId="0" applyNumberFormat="1" applyFont="1" applyFill="1" applyBorder="1"/>
    <xf numFmtId="4" fontId="5" fillId="7" borderId="7" xfId="0" applyNumberFormat="1" applyFont="1" applyFill="1" applyBorder="1"/>
    <xf numFmtId="4" fontId="5" fillId="3" borderId="7" xfId="0" applyNumberFormat="1" applyFont="1" applyFill="1" applyBorder="1"/>
    <xf numFmtId="4" fontId="5" fillId="8" borderId="7" xfId="0" applyNumberFormat="1" applyFont="1" applyFill="1" applyBorder="1"/>
    <xf numFmtId="4" fontId="5" fillId="8" borderId="8" xfId="0" applyNumberFormat="1" applyFont="1" applyFill="1" applyBorder="1"/>
    <xf numFmtId="4" fontId="5" fillId="7" borderId="12" xfId="0" applyNumberFormat="1" applyFont="1" applyFill="1" applyBorder="1"/>
    <xf numFmtId="4" fontId="5" fillId="9" borderId="12" xfId="0" applyNumberFormat="1" applyFont="1" applyFill="1" applyBorder="1"/>
    <xf numFmtId="4" fontId="5" fillId="0" borderId="8" xfId="0" applyNumberFormat="1" applyFont="1" applyBorder="1"/>
    <xf numFmtId="2" fontId="5" fillId="0" borderId="12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left"/>
    </xf>
    <xf numFmtId="4" fontId="5" fillId="7" borderId="0" xfId="0" applyNumberFormat="1" applyFont="1" applyFill="1" applyBorder="1"/>
    <xf numFmtId="4" fontId="5" fillId="8" borderId="0" xfId="0" applyNumberFormat="1" applyFont="1" applyFill="1" applyBorder="1"/>
    <xf numFmtId="4" fontId="12" fillId="10" borderId="7" xfId="0" applyNumberFormat="1" applyFont="1" applyFill="1" applyBorder="1"/>
    <xf numFmtId="4" fontId="6" fillId="2" borderId="7" xfId="0" applyNumberFormat="1" applyFont="1" applyFill="1" applyBorder="1"/>
    <xf numFmtId="4" fontId="6" fillId="2" borderId="12" xfId="0" applyNumberFormat="1" applyFont="1" applyFill="1" applyBorder="1"/>
    <xf numFmtId="4" fontId="6" fillId="2" borderId="8" xfId="0" applyNumberFormat="1" applyFont="1" applyFill="1" applyBorder="1"/>
    <xf numFmtId="164" fontId="6" fillId="2" borderId="12" xfId="0" applyNumberFormat="1" applyFont="1" applyFill="1" applyBorder="1"/>
    <xf numFmtId="0" fontId="0" fillId="0" borderId="13" xfId="0" applyBorder="1"/>
    <xf numFmtId="1" fontId="0" fillId="0" borderId="14" xfId="0" applyNumberFormat="1" applyBorder="1"/>
    <xf numFmtId="164" fontId="0" fillId="0" borderId="13" xfId="0" applyNumberFormat="1" applyBorder="1"/>
    <xf numFmtId="4" fontId="0" fillId="0" borderId="14" xfId="0" applyNumberFormat="1" applyBorder="1"/>
    <xf numFmtId="4" fontId="0" fillId="0" borderId="15" xfId="0" applyNumberFormat="1" applyBorder="1"/>
    <xf numFmtId="164" fontId="0" fillId="0" borderId="14" xfId="0" applyNumberFormat="1" applyBorder="1"/>
    <xf numFmtId="0" fontId="0" fillId="0" borderId="15" xfId="0" applyBorder="1"/>
    <xf numFmtId="164" fontId="0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right"/>
    </xf>
    <xf numFmtId="4" fontId="1" fillId="10" borderId="0" xfId="0" applyNumberFormat="1" applyFont="1" applyFill="1" applyBorder="1"/>
    <xf numFmtId="4" fontId="4" fillId="0" borderId="0" xfId="0" applyNumberFormat="1" applyFont="1"/>
    <xf numFmtId="0" fontId="13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710280</xdr:colOff>
      <xdr:row>0</xdr:row>
      <xdr:rowOff>66600</xdr:rowOff>
    </xdr:from>
    <xdr:to>
      <xdr:col>5</xdr:col>
      <xdr:colOff>104337</xdr:colOff>
      <xdr:row>3</xdr:row>
      <xdr:rowOff>34200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777330" y="66600"/>
          <a:ext cx="1693815" cy="596250"/>
        </a:xfrm>
        <a:prstGeom prst="rect">
          <a:avLst/>
        </a:prstGeom>
        <a:ln w="936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348120</xdr:colOff>
      <xdr:row>0</xdr:row>
      <xdr:rowOff>87480</xdr:rowOff>
    </xdr:from>
    <xdr:to>
      <xdr:col>11</xdr:col>
      <xdr:colOff>813600</xdr:colOff>
      <xdr:row>3</xdr:row>
      <xdr:rowOff>29520</xdr:rowOff>
    </xdr:to>
    <xdr:pic>
      <xdr:nvPicPr>
        <xdr:cNvPr id="2" name="Imagen 3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10568445" y="87480"/>
          <a:ext cx="465480" cy="561165"/>
        </a:xfrm>
        <a:prstGeom prst="rect">
          <a:avLst/>
        </a:prstGeom>
        <a:ln w="936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aelct\AppData\Local\Microsoft\Windows\Temporary%20Internet%20Files\Content.Outlook\QJ3T149X\160223%20INGES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faelct\AppData\Local\Microsoft\Windows\Temporary%20Internet%20Files\Content.Outlook\QJ3T149X\160310%20ELSA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gesan Reg."/>
      <sheetName val="UTE Reg."/>
      <sheetName val="deuda"/>
      <sheetName val="OPA pdte aprobar"/>
      <sheetName val="R"/>
      <sheetName val="RESUMEN "/>
    </sheetNames>
    <sheetDataSet>
      <sheetData sheetId="0">
        <row r="3">
          <cell r="F3">
            <v>164965.20000000001</v>
          </cell>
        </row>
        <row r="4">
          <cell r="F4">
            <v>207224.33</v>
          </cell>
        </row>
        <row r="6">
          <cell r="F6">
            <v>164965.20000000001</v>
          </cell>
        </row>
        <row r="7">
          <cell r="F7">
            <v>207224.33</v>
          </cell>
        </row>
        <row r="9">
          <cell r="F9">
            <v>164965.20000000001</v>
          </cell>
        </row>
        <row r="10">
          <cell r="F10">
            <v>207224.33</v>
          </cell>
        </row>
        <row r="12">
          <cell r="F12">
            <v>164965.20000000001</v>
          </cell>
        </row>
        <row r="13">
          <cell r="F13">
            <v>207224.33</v>
          </cell>
        </row>
        <row r="14">
          <cell r="F14">
            <v>3155.38</v>
          </cell>
        </row>
        <row r="16">
          <cell r="F16">
            <v>164965.20000000001</v>
          </cell>
        </row>
        <row r="17">
          <cell r="F17">
            <v>207224.33</v>
          </cell>
        </row>
        <row r="18">
          <cell r="F18">
            <v>257.02</v>
          </cell>
        </row>
        <row r="19">
          <cell r="F19">
            <v>257.02</v>
          </cell>
        </row>
        <row r="20">
          <cell r="F20">
            <v>753.9</v>
          </cell>
        </row>
        <row r="21">
          <cell r="F21">
            <v>2953.98</v>
          </cell>
        </row>
        <row r="23">
          <cell r="F23">
            <v>164965.20000000001</v>
          </cell>
        </row>
        <row r="24">
          <cell r="F24">
            <v>207224.33</v>
          </cell>
        </row>
        <row r="26">
          <cell r="F26">
            <v>164965.20000000001</v>
          </cell>
        </row>
        <row r="27">
          <cell r="F27">
            <v>207224.33</v>
          </cell>
        </row>
        <row r="29">
          <cell r="F29">
            <v>164965.20000000001</v>
          </cell>
        </row>
        <row r="30">
          <cell r="F30">
            <v>207224.33</v>
          </cell>
        </row>
        <row r="32">
          <cell r="F32">
            <v>164965.20000000001</v>
          </cell>
        </row>
        <row r="33">
          <cell r="F33">
            <v>207224.33</v>
          </cell>
        </row>
        <row r="34">
          <cell r="F34">
            <v>5621.72</v>
          </cell>
        </row>
        <row r="36">
          <cell r="F36">
            <v>164965.20000000001</v>
          </cell>
        </row>
        <row r="37">
          <cell r="F37">
            <v>207224.33</v>
          </cell>
        </row>
        <row r="38">
          <cell r="F38">
            <v>33.94</v>
          </cell>
        </row>
        <row r="39">
          <cell r="F39">
            <v>38.119999999999997</v>
          </cell>
        </row>
        <row r="40">
          <cell r="F40">
            <v>266.89999999999998</v>
          </cell>
        </row>
        <row r="42">
          <cell r="F42">
            <v>164965.20000000001</v>
          </cell>
        </row>
        <row r="43">
          <cell r="F43">
            <v>207224.33</v>
          </cell>
        </row>
        <row r="44">
          <cell r="F44">
            <v>1553.64</v>
          </cell>
        </row>
        <row r="45">
          <cell r="F45">
            <v>4669.37</v>
          </cell>
        </row>
        <row r="47">
          <cell r="F47">
            <v>164965.20000000001</v>
          </cell>
        </row>
        <row r="48">
          <cell r="F48">
            <v>207224.33</v>
          </cell>
        </row>
        <row r="49">
          <cell r="F49">
            <v>33.94</v>
          </cell>
        </row>
        <row r="50">
          <cell r="F50">
            <v>135.75</v>
          </cell>
        </row>
        <row r="51">
          <cell r="F51">
            <v>305.42</v>
          </cell>
        </row>
        <row r="52">
          <cell r="F52">
            <v>1476.6</v>
          </cell>
        </row>
        <row r="53">
          <cell r="F53">
            <v>4669.37</v>
          </cell>
        </row>
        <row r="60">
          <cell r="F60">
            <v>207224.33</v>
          </cell>
        </row>
        <row r="61">
          <cell r="F61">
            <v>164965.20000000001</v>
          </cell>
        </row>
        <row r="62">
          <cell r="F62">
            <v>1476.6</v>
          </cell>
        </row>
        <row r="63">
          <cell r="F63">
            <v>1476.6</v>
          </cell>
        </row>
        <row r="64">
          <cell r="F64">
            <v>101.82</v>
          </cell>
        </row>
        <row r="65">
          <cell r="F65">
            <v>101.82</v>
          </cell>
        </row>
        <row r="66">
          <cell r="F66">
            <v>207224.33</v>
          </cell>
        </row>
        <row r="67">
          <cell r="F67">
            <v>164965.20000000001</v>
          </cell>
        </row>
        <row r="68">
          <cell r="F68">
            <v>1605</v>
          </cell>
        </row>
        <row r="69">
          <cell r="F69">
            <v>1605</v>
          </cell>
        </row>
        <row r="70">
          <cell r="F70">
            <v>164965.20000000001</v>
          </cell>
        </row>
        <row r="71">
          <cell r="F71">
            <v>207224.33</v>
          </cell>
        </row>
        <row r="72">
          <cell r="F72">
            <v>1284</v>
          </cell>
        </row>
        <row r="73">
          <cell r="F73">
            <v>1284</v>
          </cell>
        </row>
        <row r="74">
          <cell r="F74">
            <v>207224.33</v>
          </cell>
        </row>
        <row r="75">
          <cell r="F75">
            <v>164965.20000000001</v>
          </cell>
        </row>
        <row r="76">
          <cell r="F76">
            <v>4669.37</v>
          </cell>
        </row>
        <row r="77">
          <cell r="F77">
            <v>4669.37</v>
          </cell>
        </row>
        <row r="78">
          <cell r="F78">
            <v>4669.37</v>
          </cell>
        </row>
        <row r="79">
          <cell r="F79">
            <v>4669.37</v>
          </cell>
        </row>
        <row r="80">
          <cell r="F80">
            <v>207224.33</v>
          </cell>
        </row>
        <row r="81">
          <cell r="F81">
            <v>164965.20000000001</v>
          </cell>
        </row>
        <row r="82">
          <cell r="F82">
            <v>4669.37</v>
          </cell>
        </row>
        <row r="83">
          <cell r="F83">
            <v>1284</v>
          </cell>
        </row>
        <row r="84">
          <cell r="F84">
            <v>808.28</v>
          </cell>
        </row>
        <row r="85">
          <cell r="F85">
            <v>207224.33</v>
          </cell>
        </row>
        <row r="86">
          <cell r="F86">
            <v>164965.20000000001</v>
          </cell>
        </row>
        <row r="87">
          <cell r="F87">
            <v>4669.37</v>
          </cell>
        </row>
        <row r="88">
          <cell r="F88">
            <v>1412.41</v>
          </cell>
        </row>
        <row r="89">
          <cell r="F89">
            <v>1412.41</v>
          </cell>
        </row>
        <row r="90">
          <cell r="F90">
            <v>164965.20000000001</v>
          </cell>
        </row>
        <row r="91">
          <cell r="F91">
            <v>4669.37</v>
          </cell>
        </row>
        <row r="92">
          <cell r="F92">
            <v>207224.33</v>
          </cell>
        </row>
        <row r="93">
          <cell r="F93">
            <v>164965.20000000001</v>
          </cell>
        </row>
        <row r="94">
          <cell r="F94">
            <v>207224.33</v>
          </cell>
        </row>
        <row r="95">
          <cell r="F95">
            <v>4669.37</v>
          </cell>
        </row>
        <row r="96">
          <cell r="F96">
            <v>1412.41</v>
          </cell>
        </row>
        <row r="97">
          <cell r="F97">
            <v>1412.41</v>
          </cell>
        </row>
        <row r="98">
          <cell r="F98">
            <v>333.84</v>
          </cell>
        </row>
        <row r="99">
          <cell r="F99">
            <v>166.92</v>
          </cell>
        </row>
        <row r="100">
          <cell r="F100">
            <v>164965.20000000001</v>
          </cell>
        </row>
        <row r="101">
          <cell r="F101">
            <v>4669.37</v>
          </cell>
        </row>
        <row r="102">
          <cell r="F102">
            <v>207224.33</v>
          </cell>
        </row>
        <row r="103">
          <cell r="F103">
            <v>1412.41</v>
          </cell>
        </row>
        <row r="104">
          <cell r="F104">
            <v>564.97</v>
          </cell>
        </row>
        <row r="105">
          <cell r="F105">
            <v>1412.41</v>
          </cell>
        </row>
        <row r="106">
          <cell r="F106">
            <v>164965.20000000001</v>
          </cell>
        </row>
        <row r="107">
          <cell r="F107">
            <v>4669.37</v>
          </cell>
        </row>
        <row r="108">
          <cell r="F108">
            <v>207224.33</v>
          </cell>
        </row>
        <row r="109">
          <cell r="F109">
            <v>1284</v>
          </cell>
        </row>
        <row r="110">
          <cell r="F110">
            <v>514.05999999999995</v>
          </cell>
        </row>
        <row r="111">
          <cell r="F111">
            <v>753.88</v>
          </cell>
        </row>
        <row r="112">
          <cell r="F112">
            <v>34.29</v>
          </cell>
        </row>
        <row r="113">
          <cell r="F113">
            <v>164965.20000000001</v>
          </cell>
        </row>
        <row r="114">
          <cell r="F114">
            <v>4669.37</v>
          </cell>
        </row>
        <row r="115">
          <cell r="F115">
            <v>207224.33</v>
          </cell>
        </row>
        <row r="116">
          <cell r="F116">
            <v>1354.48</v>
          </cell>
        </row>
        <row r="117">
          <cell r="F117">
            <v>539.28</v>
          </cell>
        </row>
        <row r="118">
          <cell r="F118">
            <v>1354.48</v>
          </cell>
        </row>
        <row r="119">
          <cell r="F119">
            <v>346.63</v>
          </cell>
        </row>
        <row r="120">
          <cell r="F120">
            <v>51.43</v>
          </cell>
        </row>
        <row r="121">
          <cell r="F121">
            <v>1476.6</v>
          </cell>
        </row>
        <row r="122">
          <cell r="F122">
            <v>1476.6</v>
          </cell>
        </row>
        <row r="123">
          <cell r="F123">
            <v>590.64</v>
          </cell>
        </row>
        <row r="124">
          <cell r="F124">
            <v>164965.20000000001</v>
          </cell>
        </row>
        <row r="125">
          <cell r="F125">
            <v>207224.33</v>
          </cell>
        </row>
        <row r="126">
          <cell r="F126">
            <v>4669.37</v>
          </cell>
        </row>
        <row r="132">
          <cell r="F132">
            <v>17353.14</v>
          </cell>
        </row>
        <row r="133">
          <cell r="F133">
            <v>128339.64</v>
          </cell>
        </row>
        <row r="134">
          <cell r="F134">
            <v>131881.51</v>
          </cell>
        </row>
        <row r="135">
          <cell r="F135">
            <v>125650.48</v>
          </cell>
        </row>
        <row r="136">
          <cell r="F136">
            <v>134538.71</v>
          </cell>
        </row>
        <row r="137">
          <cell r="F137">
            <v>149724.06</v>
          </cell>
        </row>
        <row r="138">
          <cell r="F138">
            <v>154121.71</v>
          </cell>
        </row>
        <row r="139">
          <cell r="F139">
            <v>104454.77</v>
          </cell>
        </row>
        <row r="151">
          <cell r="F151">
            <v>164965.20000000001</v>
          </cell>
        </row>
        <row r="152">
          <cell r="F152">
            <v>207224.33</v>
          </cell>
        </row>
        <row r="153">
          <cell r="F153">
            <v>25.68</v>
          </cell>
        </row>
        <row r="154">
          <cell r="F154">
            <v>4583.88</v>
          </cell>
        </row>
        <row r="155">
          <cell r="F155">
            <v>539.27</v>
          </cell>
        </row>
        <row r="156">
          <cell r="F156">
            <v>4669.37</v>
          </cell>
        </row>
        <row r="157">
          <cell r="F157">
            <v>754457.82000000007</v>
          </cell>
        </row>
        <row r="161">
          <cell r="F161">
            <v>163194.79</v>
          </cell>
        </row>
      </sheetData>
      <sheetData sheetId="1">
        <row r="10">
          <cell r="F10">
            <v>487935.31</v>
          </cell>
        </row>
        <row r="11">
          <cell r="F11">
            <v>482670.69</v>
          </cell>
        </row>
        <row r="12">
          <cell r="F12">
            <v>506084.82</v>
          </cell>
        </row>
        <row r="13">
          <cell r="F13">
            <v>504253.7</v>
          </cell>
        </row>
        <row r="14">
          <cell r="F14">
            <v>532381.29</v>
          </cell>
        </row>
        <row r="21">
          <cell r="F21">
            <v>513568.91</v>
          </cell>
        </row>
        <row r="22">
          <cell r="F22">
            <v>512205.82</v>
          </cell>
        </row>
        <row r="23">
          <cell r="F23">
            <v>569022.64</v>
          </cell>
        </row>
        <row r="24">
          <cell r="F24">
            <v>537001.75</v>
          </cell>
        </row>
        <row r="25">
          <cell r="F25">
            <v>523667.84</v>
          </cell>
        </row>
        <row r="26">
          <cell r="F26">
            <v>555696.13</v>
          </cell>
        </row>
        <row r="27">
          <cell r="F27">
            <v>591656.48</v>
          </cell>
        </row>
        <row r="28">
          <cell r="F28">
            <v>610726.36</v>
          </cell>
        </row>
        <row r="29">
          <cell r="F29">
            <v>562938.71</v>
          </cell>
        </row>
        <row r="30">
          <cell r="F30">
            <v>244583.87</v>
          </cell>
        </row>
        <row r="31">
          <cell r="F31">
            <v>305066.56</v>
          </cell>
        </row>
        <row r="32">
          <cell r="F32">
            <v>545231.31000000006</v>
          </cell>
        </row>
        <row r="33">
          <cell r="F33">
            <v>330254.73</v>
          </cell>
        </row>
        <row r="34">
          <cell r="F34">
            <v>213154.76</v>
          </cell>
        </row>
        <row r="41">
          <cell r="F41">
            <v>520177.2</v>
          </cell>
        </row>
        <row r="42">
          <cell r="F42">
            <v>552448.71</v>
          </cell>
        </row>
        <row r="43">
          <cell r="F43">
            <v>1072625.9099999999</v>
          </cell>
        </row>
      </sheetData>
      <sheetData sheetId="2"/>
      <sheetData sheetId="3"/>
      <sheetData sheetId="4">
        <row r="33">
          <cell r="H33">
            <v>67232.800000000003</v>
          </cell>
        </row>
        <row r="34">
          <cell r="H34">
            <v>206311.2</v>
          </cell>
        </row>
        <row r="35">
          <cell r="H35">
            <v>40311.5</v>
          </cell>
        </row>
        <row r="36">
          <cell r="H36">
            <v>67530.179999999993</v>
          </cell>
        </row>
        <row r="37">
          <cell r="H37">
            <v>101298.28</v>
          </cell>
        </row>
        <row r="38">
          <cell r="H38">
            <v>72935.55</v>
          </cell>
        </row>
        <row r="39">
          <cell r="H39">
            <v>372853.62</v>
          </cell>
        </row>
        <row r="40">
          <cell r="H40">
            <v>219552.59</v>
          </cell>
        </row>
        <row r="41">
          <cell r="H41">
            <v>142044.45000000001</v>
          </cell>
        </row>
        <row r="42">
          <cell r="H42">
            <v>89310.89</v>
          </cell>
        </row>
        <row r="43">
          <cell r="H43">
            <v>141055.54999999999</v>
          </cell>
        </row>
        <row r="44">
          <cell r="H44">
            <v>41463.9</v>
          </cell>
        </row>
        <row r="45">
          <cell r="H45">
            <v>273318.40999999997</v>
          </cell>
        </row>
        <row r="46">
          <cell r="H46">
            <v>46814.73</v>
          </cell>
        </row>
        <row r="47">
          <cell r="H47">
            <v>16437.02</v>
          </cell>
        </row>
        <row r="48">
          <cell r="H48">
            <v>345160.02</v>
          </cell>
        </row>
        <row r="49">
          <cell r="H49">
            <v>71899.39</v>
          </cell>
        </row>
        <row r="50">
          <cell r="H50">
            <v>147030.70000000001</v>
          </cell>
        </row>
        <row r="51">
          <cell r="H51">
            <v>142666.95000000001</v>
          </cell>
        </row>
        <row r="52">
          <cell r="H52">
            <v>179996.18</v>
          </cell>
        </row>
        <row r="53">
          <cell r="H53">
            <v>41791.199999999997</v>
          </cell>
        </row>
        <row r="54">
          <cell r="H54">
            <v>136764.75</v>
          </cell>
        </row>
        <row r="55">
          <cell r="H55">
            <v>22068.41</v>
          </cell>
        </row>
        <row r="56">
          <cell r="H56">
            <v>175969.47</v>
          </cell>
        </row>
        <row r="57">
          <cell r="H57">
            <v>7030.53</v>
          </cell>
        </row>
        <row r="62">
          <cell r="H62">
            <v>44379.06</v>
          </cell>
        </row>
        <row r="63">
          <cell r="H63">
            <v>105620.94</v>
          </cell>
        </row>
        <row r="64">
          <cell r="H64">
            <v>249.48</v>
          </cell>
        </row>
        <row r="65">
          <cell r="H65">
            <v>254.45</v>
          </cell>
        </row>
        <row r="66">
          <cell r="H66">
            <v>751.33</v>
          </cell>
        </row>
        <row r="67">
          <cell r="H67">
            <v>24951.82</v>
          </cell>
        </row>
        <row r="68">
          <cell r="H68">
            <v>59344.26</v>
          </cell>
        </row>
        <row r="69">
          <cell r="H69">
            <v>207224.33</v>
          </cell>
        </row>
        <row r="70">
          <cell r="H70">
            <v>207224.33</v>
          </cell>
        </row>
        <row r="71">
          <cell r="I71">
            <v>164965.20000000001</v>
          </cell>
        </row>
        <row r="72">
          <cell r="I72">
            <v>164965.20000000001</v>
          </cell>
        </row>
        <row r="73">
          <cell r="I73">
            <v>207224.33</v>
          </cell>
        </row>
        <row r="74">
          <cell r="I74">
            <v>207224.33</v>
          </cell>
        </row>
        <row r="75">
          <cell r="I75">
            <v>3799.76</v>
          </cell>
        </row>
        <row r="76">
          <cell r="I76">
            <v>182272.51</v>
          </cell>
        </row>
        <row r="77">
          <cell r="I77">
            <v>164965.20000000001</v>
          </cell>
        </row>
        <row r="78">
          <cell r="I78">
            <v>164965.20000000001</v>
          </cell>
        </row>
        <row r="79">
          <cell r="I79">
            <v>164965.20000000001</v>
          </cell>
        </row>
        <row r="80">
          <cell r="I80">
            <v>164965.20000000001</v>
          </cell>
        </row>
        <row r="81">
          <cell r="I81">
            <v>164965.20000000001</v>
          </cell>
        </row>
        <row r="82">
          <cell r="I82">
            <v>207224.33</v>
          </cell>
        </row>
        <row r="83">
          <cell r="I83">
            <v>207224.33</v>
          </cell>
        </row>
        <row r="84">
          <cell r="I84">
            <v>207224.33</v>
          </cell>
        </row>
        <row r="85">
          <cell r="I85">
            <v>207224.33</v>
          </cell>
        </row>
        <row r="86">
          <cell r="I86">
            <v>5621.72</v>
          </cell>
        </row>
        <row r="87">
          <cell r="I87">
            <v>164965.20000000001</v>
          </cell>
        </row>
        <row r="88">
          <cell r="I88">
            <v>1553.64</v>
          </cell>
        </row>
        <row r="89">
          <cell r="I89">
            <v>207224.33</v>
          </cell>
        </row>
        <row r="90">
          <cell r="I90">
            <v>1476.6</v>
          </cell>
        </row>
        <row r="91">
          <cell r="I91">
            <v>198572.36</v>
          </cell>
        </row>
        <row r="92">
          <cell r="I92">
            <v>8651.9699999999993</v>
          </cell>
        </row>
        <row r="93">
          <cell r="I93">
            <v>4669.37</v>
          </cell>
        </row>
        <row r="94">
          <cell r="I94">
            <v>164965.20000000001</v>
          </cell>
        </row>
        <row r="95">
          <cell r="I95">
            <v>164965.20000000001</v>
          </cell>
        </row>
        <row r="96">
          <cell r="I96">
            <v>4669.37</v>
          </cell>
        </row>
        <row r="102">
          <cell r="H102">
            <v>125640.61</v>
          </cell>
        </row>
        <row r="103">
          <cell r="H103">
            <v>344251.01</v>
          </cell>
        </row>
        <row r="104">
          <cell r="H104">
            <v>246271.93</v>
          </cell>
        </row>
        <row r="105">
          <cell r="H105">
            <v>107518.95</v>
          </cell>
        </row>
        <row r="106">
          <cell r="H106">
            <v>318178.63</v>
          </cell>
        </row>
        <row r="107">
          <cell r="H107">
            <v>67656.13</v>
          </cell>
        </row>
        <row r="108">
          <cell r="H108">
            <v>134007.93</v>
          </cell>
        </row>
        <row r="109">
          <cell r="H109">
            <v>168335.94</v>
          </cell>
        </row>
        <row r="110">
          <cell r="H110">
            <v>24268.98</v>
          </cell>
        </row>
        <row r="111">
          <cell r="H111">
            <v>26145.03</v>
          </cell>
        </row>
        <row r="112">
          <cell r="H112">
            <v>203695.34</v>
          </cell>
        </row>
        <row r="113">
          <cell r="H113">
            <v>126511.2</v>
          </cell>
        </row>
        <row r="114">
          <cell r="H114">
            <v>133593.79</v>
          </cell>
        </row>
        <row r="115">
          <cell r="H115">
            <v>133033.46</v>
          </cell>
        </row>
        <row r="116">
          <cell r="H116">
            <v>139518.93</v>
          </cell>
        </row>
        <row r="117">
          <cell r="H117">
            <v>135177.43</v>
          </cell>
        </row>
        <row r="118">
          <cell r="H118">
            <v>135052.51999999999</v>
          </cell>
        </row>
        <row r="119">
          <cell r="H119">
            <v>17411.63</v>
          </cell>
        </row>
        <row r="120">
          <cell r="H120">
            <v>67212.240000000005</v>
          </cell>
        </row>
        <row r="121">
          <cell r="H121">
            <v>351573.73</v>
          </cell>
        </row>
        <row r="122">
          <cell r="H122">
            <v>87298.85</v>
          </cell>
        </row>
        <row r="123">
          <cell r="H123">
            <v>112701.15</v>
          </cell>
        </row>
        <row r="124">
          <cell r="H124">
            <v>341949.69</v>
          </cell>
        </row>
        <row r="125">
          <cell r="H125">
            <v>361891.14</v>
          </cell>
        </row>
        <row r="126">
          <cell r="I126">
            <v>351029.82</v>
          </cell>
        </row>
        <row r="127">
          <cell r="I127">
            <v>188970.18</v>
          </cell>
        </row>
        <row r="128">
          <cell r="I128">
            <v>11547.5</v>
          </cell>
        </row>
        <row r="129">
          <cell r="I129">
            <v>343279.93</v>
          </cell>
        </row>
        <row r="130">
          <cell r="I130">
            <v>161176</v>
          </cell>
        </row>
        <row r="131">
          <cell r="I131">
            <v>160839.65</v>
          </cell>
        </row>
        <row r="132">
          <cell r="I132">
            <v>163759.07999999999</v>
          </cell>
        </row>
        <row r="133">
          <cell r="I133">
            <v>146293.85999999999</v>
          </cell>
        </row>
        <row r="134">
          <cell r="I134">
            <v>393706.14</v>
          </cell>
        </row>
        <row r="135">
          <cell r="I135">
            <v>49602.86</v>
          </cell>
        </row>
        <row r="136">
          <cell r="I136">
            <v>157982</v>
          </cell>
        </row>
        <row r="137">
          <cell r="I137">
            <v>12508.15</v>
          </cell>
        </row>
        <row r="143">
          <cell r="I143">
            <v>101.82</v>
          </cell>
        </row>
        <row r="144">
          <cell r="I144">
            <v>101.82</v>
          </cell>
        </row>
        <row r="145">
          <cell r="I145">
            <v>207224.33</v>
          </cell>
        </row>
        <row r="146">
          <cell r="I146">
            <v>164965.20000000001</v>
          </cell>
        </row>
        <row r="147">
          <cell r="I147">
            <v>161165.44</v>
          </cell>
        </row>
        <row r="148">
          <cell r="I148">
            <v>207224.33</v>
          </cell>
        </row>
        <row r="149">
          <cell r="I149">
            <v>808.28</v>
          </cell>
        </row>
        <row r="150">
          <cell r="I150">
            <v>2787.84</v>
          </cell>
        </row>
        <row r="151">
          <cell r="I151">
            <v>207224.33</v>
          </cell>
        </row>
        <row r="152">
          <cell r="I152">
            <v>162177.35999999999</v>
          </cell>
        </row>
        <row r="156">
          <cell r="H156">
            <v>29022.639999999999</v>
          </cell>
        </row>
        <row r="157">
          <cell r="H157">
            <v>159459.73000000001</v>
          </cell>
        </row>
        <row r="158">
          <cell r="H158">
            <v>9380.68</v>
          </cell>
        </row>
        <row r="159">
          <cell r="H159">
            <v>160881.10999999999</v>
          </cell>
        </row>
        <row r="160">
          <cell r="H160">
            <v>376120.64</v>
          </cell>
        </row>
        <row r="161">
          <cell r="H161">
            <v>347726.75</v>
          </cell>
        </row>
        <row r="162">
          <cell r="H162">
            <v>75113.509999999995</v>
          </cell>
        </row>
        <row r="163">
          <cell r="H163">
            <v>86617.21</v>
          </cell>
        </row>
        <row r="164">
          <cell r="H164">
            <v>46238.66</v>
          </cell>
        </row>
        <row r="165">
          <cell r="H165">
            <v>174018.91</v>
          </cell>
        </row>
        <row r="166">
          <cell r="H166">
            <v>328288.87</v>
          </cell>
        </row>
        <row r="167">
          <cell r="H167">
            <v>89348.7</v>
          </cell>
        </row>
        <row r="168">
          <cell r="H168">
            <v>95005.440000000002</v>
          </cell>
        </row>
        <row r="169">
          <cell r="H169">
            <v>435368.7</v>
          </cell>
        </row>
        <row r="170">
          <cell r="I170">
            <v>80352.22</v>
          </cell>
        </row>
        <row r="171">
          <cell r="I171">
            <v>109647.78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lsan registro"/>
      <sheetName val="deuda"/>
      <sheetName val="R"/>
      <sheetName val="pdte aprobar"/>
      <sheetName val="RESUMEN"/>
      <sheetName val="OTROS CONCEPTOS"/>
    </sheetNames>
    <sheetDataSet>
      <sheetData sheetId="0">
        <row r="4">
          <cell r="E4">
            <v>217281.19</v>
          </cell>
        </row>
        <row r="5">
          <cell r="E5">
            <v>13682.73</v>
          </cell>
        </row>
        <row r="6">
          <cell r="E6">
            <v>217281.19</v>
          </cell>
        </row>
        <row r="7">
          <cell r="E7">
            <v>27365.46</v>
          </cell>
        </row>
        <row r="8">
          <cell r="E8">
            <v>217281.19</v>
          </cell>
        </row>
        <row r="9">
          <cell r="E9">
            <v>27365.46</v>
          </cell>
        </row>
        <row r="10">
          <cell r="E10">
            <v>217281.19</v>
          </cell>
        </row>
        <row r="11">
          <cell r="E11">
            <v>27365.46</v>
          </cell>
        </row>
        <row r="12">
          <cell r="E12">
            <v>217281.19</v>
          </cell>
        </row>
        <row r="13">
          <cell r="E13">
            <v>27365.46</v>
          </cell>
        </row>
        <row r="14">
          <cell r="E14">
            <v>217281.19</v>
          </cell>
        </row>
        <row r="15">
          <cell r="E15">
            <v>27365.46</v>
          </cell>
        </row>
        <row r="16">
          <cell r="E16">
            <v>217281.19</v>
          </cell>
        </row>
        <row r="17">
          <cell r="E17">
            <v>13682.69</v>
          </cell>
        </row>
        <row r="18">
          <cell r="E18">
            <v>217281.19</v>
          </cell>
        </row>
        <row r="19">
          <cell r="E19">
            <v>217281.19</v>
          </cell>
        </row>
        <row r="20">
          <cell r="E20">
            <v>217281.19</v>
          </cell>
        </row>
        <row r="21">
          <cell r="E21">
            <v>217281.19</v>
          </cell>
        </row>
        <row r="22">
          <cell r="E22">
            <v>217281.19</v>
          </cell>
        </row>
        <row r="27">
          <cell r="E27">
            <v>245805.74</v>
          </cell>
        </row>
        <row r="28">
          <cell r="E28">
            <v>127080.65</v>
          </cell>
        </row>
        <row r="29">
          <cell r="E29">
            <v>111897.05</v>
          </cell>
        </row>
        <row r="30">
          <cell r="E30">
            <v>100186.69</v>
          </cell>
        </row>
        <row r="31">
          <cell r="E31">
            <v>106490.26</v>
          </cell>
        </row>
        <row r="32">
          <cell r="E32">
            <v>136531.5</v>
          </cell>
        </row>
        <row r="33">
          <cell r="E33">
            <v>147648.01</v>
          </cell>
        </row>
        <row r="34">
          <cell r="E34">
            <v>120182.19</v>
          </cell>
        </row>
        <row r="35">
          <cell r="E35">
            <v>125796.07</v>
          </cell>
        </row>
        <row r="36">
          <cell r="E36">
            <v>16248.54</v>
          </cell>
        </row>
        <row r="37">
          <cell r="E37">
            <v>160067.28</v>
          </cell>
        </row>
        <row r="38">
          <cell r="E38">
            <v>127179.65</v>
          </cell>
        </row>
        <row r="39">
          <cell r="E39">
            <v>222559.35</v>
          </cell>
        </row>
        <row r="52">
          <cell r="E52">
            <v>4089.45</v>
          </cell>
        </row>
        <row r="53">
          <cell r="E53">
            <v>4089.45</v>
          </cell>
        </row>
        <row r="62">
          <cell r="E62">
            <v>17424.98</v>
          </cell>
        </row>
        <row r="63">
          <cell r="E63">
            <v>217281.19</v>
          </cell>
        </row>
        <row r="64">
          <cell r="E64">
            <v>217281.19</v>
          </cell>
        </row>
        <row r="65">
          <cell r="E65">
            <v>217281.19</v>
          </cell>
        </row>
        <row r="66">
          <cell r="E66">
            <v>217281.19</v>
          </cell>
        </row>
        <row r="67">
          <cell r="E67">
            <v>217281.19</v>
          </cell>
        </row>
        <row r="68">
          <cell r="E68">
            <v>25021.05</v>
          </cell>
        </row>
        <row r="69">
          <cell r="E69">
            <v>25021.05</v>
          </cell>
        </row>
        <row r="70">
          <cell r="E70">
            <v>217281.19</v>
          </cell>
        </row>
        <row r="71">
          <cell r="E71">
            <v>25021.05</v>
          </cell>
        </row>
        <row r="72">
          <cell r="E72">
            <v>217281.19</v>
          </cell>
        </row>
        <row r="73">
          <cell r="E73">
            <v>25021.05</v>
          </cell>
        </row>
        <row r="74">
          <cell r="E74">
            <v>217281.19</v>
          </cell>
        </row>
        <row r="75">
          <cell r="E75">
            <v>25021.05</v>
          </cell>
        </row>
        <row r="76">
          <cell r="E76">
            <v>217281.19</v>
          </cell>
        </row>
        <row r="77">
          <cell r="E77">
            <v>8071.32</v>
          </cell>
        </row>
        <row r="78">
          <cell r="E78">
            <v>217281.19</v>
          </cell>
        </row>
        <row r="79">
          <cell r="E79">
            <v>217281.19</v>
          </cell>
        </row>
        <row r="80">
          <cell r="E80">
            <v>217281.19</v>
          </cell>
        </row>
        <row r="85">
          <cell r="E85">
            <v>122671</v>
          </cell>
        </row>
        <row r="86">
          <cell r="E86">
            <v>126208.3</v>
          </cell>
        </row>
        <row r="87">
          <cell r="E87">
            <v>155740.64000000001</v>
          </cell>
        </row>
        <row r="88">
          <cell r="E88">
            <v>145930.04</v>
          </cell>
        </row>
        <row r="89">
          <cell r="E89">
            <v>127148.97</v>
          </cell>
        </row>
        <row r="103">
          <cell r="E103">
            <v>8178.87</v>
          </cell>
        </row>
        <row r="104">
          <cell r="E104">
            <v>8178.87</v>
          </cell>
        </row>
        <row r="105">
          <cell r="E105">
            <v>8178.87</v>
          </cell>
        </row>
        <row r="111">
          <cell r="E111">
            <v>217281.19</v>
          </cell>
        </row>
        <row r="117">
          <cell r="E117">
            <v>8178.87</v>
          </cell>
        </row>
        <row r="141">
          <cell r="C141">
            <v>225460.06</v>
          </cell>
        </row>
      </sheetData>
      <sheetData sheetId="1"/>
      <sheetData sheetId="2">
        <row r="9">
          <cell r="G9">
            <v>75000</v>
          </cell>
        </row>
        <row r="10">
          <cell r="G10">
            <v>67690.64</v>
          </cell>
        </row>
        <row r="11">
          <cell r="G11">
            <v>32309.360000000001</v>
          </cell>
        </row>
        <row r="12">
          <cell r="G12">
            <v>180249.61</v>
          </cell>
        </row>
        <row r="13">
          <cell r="G13">
            <v>119750.39</v>
          </cell>
        </row>
        <row r="14">
          <cell r="G14">
            <v>97530.8</v>
          </cell>
        </row>
        <row r="15">
          <cell r="G15">
            <v>217281.19</v>
          </cell>
        </row>
        <row r="16">
          <cell r="G16">
            <v>85188.01</v>
          </cell>
        </row>
        <row r="17">
          <cell r="G17">
            <v>117906.82</v>
          </cell>
        </row>
        <row r="18">
          <cell r="G18">
            <v>86965.79</v>
          </cell>
        </row>
        <row r="19">
          <cell r="G19">
            <v>45127.39</v>
          </cell>
        </row>
        <row r="20">
          <cell r="G20">
            <v>99374.37</v>
          </cell>
        </row>
        <row r="21">
          <cell r="G21">
            <v>177486.83</v>
          </cell>
        </row>
        <row r="22">
          <cell r="G22">
            <v>12705</v>
          </cell>
        </row>
        <row r="23">
          <cell r="G23">
            <v>39794.36</v>
          </cell>
        </row>
        <row r="24">
          <cell r="G24">
            <v>27365.46</v>
          </cell>
        </row>
        <row r="25">
          <cell r="G25">
            <v>116482.44</v>
          </cell>
        </row>
        <row r="26">
          <cell r="G26">
            <v>100798.75</v>
          </cell>
        </row>
        <row r="27">
          <cell r="G27">
            <v>27365.46</v>
          </cell>
        </row>
        <row r="28">
          <cell r="G28">
            <v>13682.73</v>
          </cell>
        </row>
        <row r="29">
          <cell r="G29">
            <v>20181.09</v>
          </cell>
        </row>
        <row r="35">
          <cell r="G35">
            <v>19788.810000000001</v>
          </cell>
        </row>
        <row r="36">
          <cell r="G36">
            <v>10211.19</v>
          </cell>
        </row>
        <row r="37">
          <cell r="G37">
            <v>30000</v>
          </cell>
        </row>
        <row r="38">
          <cell r="G38">
            <v>49664.85</v>
          </cell>
        </row>
        <row r="39">
          <cell r="G39">
            <v>70335.149999999994</v>
          </cell>
        </row>
        <row r="40">
          <cell r="G40">
            <v>83093.289999999994</v>
          </cell>
        </row>
        <row r="41">
          <cell r="G41">
            <v>69178.83</v>
          </cell>
        </row>
        <row r="42">
          <cell r="G42">
            <v>29277.78</v>
          </cell>
        </row>
        <row r="43">
          <cell r="G43">
            <v>68450.100000000006</v>
          </cell>
        </row>
        <row r="44">
          <cell r="G44">
            <v>60000</v>
          </cell>
        </row>
        <row r="45">
          <cell r="G45">
            <v>37740.04</v>
          </cell>
        </row>
        <row r="46">
          <cell r="G46">
            <v>64972.41</v>
          </cell>
        </row>
        <row r="47">
          <cell r="G47">
            <v>17287.55</v>
          </cell>
        </row>
        <row r="48">
          <cell r="G48">
            <v>80000</v>
          </cell>
        </row>
        <row r="56">
          <cell r="G56">
            <v>8178.87</v>
          </cell>
        </row>
        <row r="57">
          <cell r="G57">
            <v>8178.87</v>
          </cell>
        </row>
        <row r="58">
          <cell r="G58">
            <v>8178.87</v>
          </cell>
        </row>
        <row r="59">
          <cell r="G59">
            <v>8178.87</v>
          </cell>
        </row>
        <row r="60">
          <cell r="G60">
            <v>8178.87</v>
          </cell>
        </row>
        <row r="61">
          <cell r="G61">
            <v>8178.87</v>
          </cell>
        </row>
        <row r="71">
          <cell r="G71">
            <v>158997.15</v>
          </cell>
        </row>
        <row r="72">
          <cell r="G72">
            <v>27365.46</v>
          </cell>
        </row>
        <row r="73">
          <cell r="G73">
            <v>213450.7</v>
          </cell>
        </row>
        <row r="74">
          <cell r="G74">
            <v>3830.49</v>
          </cell>
        </row>
        <row r="75">
          <cell r="G75">
            <v>27365.46</v>
          </cell>
        </row>
        <row r="76">
          <cell r="G76">
            <v>217281.19</v>
          </cell>
        </row>
        <row r="77">
          <cell r="G77">
            <v>27365.46</v>
          </cell>
        </row>
        <row r="78">
          <cell r="G78">
            <v>48799.37</v>
          </cell>
        </row>
        <row r="79">
          <cell r="G79">
            <v>13682.65</v>
          </cell>
        </row>
        <row r="80">
          <cell r="G80">
            <v>0.04</v>
          </cell>
        </row>
        <row r="81">
          <cell r="G81">
            <v>217281.19</v>
          </cell>
        </row>
        <row r="82">
          <cell r="G82">
            <v>217281.19</v>
          </cell>
        </row>
        <row r="83">
          <cell r="G83">
            <v>168481.82</v>
          </cell>
        </row>
        <row r="84">
          <cell r="G84">
            <v>217281.19</v>
          </cell>
        </row>
        <row r="85">
          <cell r="G85">
            <v>217281.19</v>
          </cell>
        </row>
        <row r="86">
          <cell r="G86">
            <v>117431.6</v>
          </cell>
        </row>
        <row r="87">
          <cell r="G87">
            <v>99849.59</v>
          </cell>
        </row>
        <row r="88">
          <cell r="G88">
            <v>17424.98</v>
          </cell>
        </row>
        <row r="89">
          <cell r="G89">
            <v>217281.19</v>
          </cell>
        </row>
        <row r="90">
          <cell r="G90">
            <v>217281.19</v>
          </cell>
        </row>
        <row r="91">
          <cell r="G91">
            <v>217281.19</v>
          </cell>
        </row>
        <row r="92">
          <cell r="G92">
            <v>191635.67</v>
          </cell>
        </row>
        <row r="98">
          <cell r="G98">
            <v>111897.05</v>
          </cell>
        </row>
        <row r="99">
          <cell r="G99">
            <v>100186.69</v>
          </cell>
        </row>
        <row r="100">
          <cell r="G100">
            <v>136531.5</v>
          </cell>
        </row>
        <row r="101">
          <cell r="G101">
            <v>106490.26</v>
          </cell>
        </row>
        <row r="102">
          <cell r="G102">
            <v>127179.65</v>
          </cell>
        </row>
        <row r="103">
          <cell r="G103">
            <v>160067.28</v>
          </cell>
        </row>
        <row r="104">
          <cell r="G104">
            <v>16248.54</v>
          </cell>
        </row>
        <row r="105">
          <cell r="G105">
            <v>222559.35</v>
          </cell>
        </row>
        <row r="111">
          <cell r="G111">
            <v>8178.87</v>
          </cell>
        </row>
        <row r="112">
          <cell r="G112">
            <v>8178.87</v>
          </cell>
        </row>
        <row r="113">
          <cell r="G113">
            <v>8178.87</v>
          </cell>
        </row>
        <row r="114">
          <cell r="G114">
            <v>8178.87</v>
          </cell>
        </row>
        <row r="115">
          <cell r="G115">
            <v>8178.87</v>
          </cell>
        </row>
        <row r="122">
          <cell r="H122">
            <v>25645.52</v>
          </cell>
        </row>
        <row r="123">
          <cell r="H123">
            <v>217281.19</v>
          </cell>
        </row>
        <row r="124">
          <cell r="H124">
            <v>155740.64000000001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1"/>
  <sheetViews>
    <sheetView tabSelected="1" zoomScale="90" zoomScaleNormal="90" workbookViewId="0">
      <selection activeCell="A6" sqref="A6"/>
    </sheetView>
  </sheetViews>
  <sheetFormatPr baseColWidth="10" defaultColWidth="9.140625" defaultRowHeight="15"/>
  <cols>
    <col min="2" max="2" width="12.5703125" customWidth="1"/>
    <col min="3" max="3" width="12.140625" customWidth="1"/>
    <col min="4" max="4" width="13.7109375" customWidth="1"/>
    <col min="5" max="5" width="14" customWidth="1"/>
    <col min="6" max="6" width="11.42578125" customWidth="1"/>
    <col min="7" max="7" width="13.28515625" customWidth="1"/>
    <col min="8" max="8" width="12.28515625" customWidth="1"/>
    <col min="9" max="9" width="13.42578125" customWidth="1"/>
    <col min="10" max="10" width="13.140625" customWidth="1"/>
    <col min="11" max="11" width="12.85546875" customWidth="1"/>
    <col min="12" max="12" width="13.85546875" customWidth="1"/>
    <col min="13" max="13" width="10.85546875" customWidth="1"/>
    <col min="14" max="14" width="11.42578125" customWidth="1"/>
  </cols>
  <sheetData>
    <row r="1" spans="1:15">
      <c r="N1" s="39"/>
    </row>
    <row r="3" spans="1:15" ht="19.5">
      <c r="A3" s="40" t="s">
        <v>30</v>
      </c>
      <c r="C3" s="17"/>
      <c r="D3" s="31"/>
      <c r="F3" s="15"/>
      <c r="G3" s="15"/>
      <c r="H3" s="15"/>
      <c r="I3" s="15"/>
      <c r="J3" s="15"/>
      <c r="K3" s="31"/>
      <c r="L3" s="31"/>
      <c r="N3" s="17"/>
      <c r="O3" s="17"/>
    </row>
    <row r="4" spans="1:15" ht="18.75">
      <c r="A4" s="4"/>
      <c r="C4" s="17"/>
      <c r="D4" s="31"/>
      <c r="F4" s="15"/>
      <c r="G4" s="15"/>
      <c r="H4" s="15"/>
      <c r="I4" s="15"/>
      <c r="J4" s="15"/>
      <c r="K4" s="31"/>
      <c r="L4" s="31"/>
      <c r="N4" s="17"/>
      <c r="O4" s="17"/>
    </row>
    <row r="6" spans="1:15" ht="105">
      <c r="A6" s="5" t="s">
        <v>1</v>
      </c>
      <c r="B6" s="41" t="s">
        <v>31</v>
      </c>
      <c r="C6" s="42" t="s">
        <v>32</v>
      </c>
      <c r="D6" s="41" t="s">
        <v>33</v>
      </c>
      <c r="E6" s="42" t="s">
        <v>34</v>
      </c>
      <c r="F6" s="43" t="s">
        <v>35</v>
      </c>
      <c r="G6" s="43" t="s">
        <v>36</v>
      </c>
      <c r="H6" s="43" t="s">
        <v>37</v>
      </c>
      <c r="I6" s="43" t="s">
        <v>9</v>
      </c>
      <c r="J6" s="43" t="s">
        <v>38</v>
      </c>
      <c r="K6" s="41" t="s">
        <v>11</v>
      </c>
      <c r="L6" s="42" t="s">
        <v>12</v>
      </c>
      <c r="M6" s="44" t="s">
        <v>13</v>
      </c>
      <c r="N6" s="44" t="s">
        <v>39</v>
      </c>
      <c r="O6" s="44" t="s">
        <v>40</v>
      </c>
    </row>
    <row r="7" spans="1:15">
      <c r="A7" s="1" t="s">
        <v>41</v>
      </c>
      <c r="B7" s="45"/>
      <c r="C7" s="46"/>
      <c r="D7" s="47"/>
      <c r="E7" s="48"/>
      <c r="F7" s="49"/>
      <c r="G7" s="50"/>
      <c r="H7" s="51">
        <v>1094388.73</v>
      </c>
      <c r="I7" s="21">
        <v>352803.9</v>
      </c>
      <c r="J7" s="52">
        <v>24536.61</v>
      </c>
      <c r="K7" s="53">
        <f t="shared" ref="K7:K34" si="0">H7+I7+J7</f>
        <v>1471729.24</v>
      </c>
      <c r="L7" s="54">
        <f t="shared" ref="L7:L34" si="1">+K7-($M$51*2)</f>
        <v>710287.69708235271</v>
      </c>
      <c r="M7" s="55">
        <f t="shared" ref="M7:M34" si="2">+L7/($M$51)</f>
        <v>1.8656394668478784</v>
      </c>
      <c r="N7" s="56">
        <f t="shared" ref="N7:N34" si="3">+M7*30</f>
        <v>55.969184005436354</v>
      </c>
      <c r="O7" s="56">
        <f t="shared" ref="O7:O34" si="4">+N7+60</f>
        <v>115.96918400543635</v>
      </c>
    </row>
    <row r="8" spans="1:15">
      <c r="A8" s="57" t="s">
        <v>42</v>
      </c>
      <c r="B8" s="58">
        <v>0</v>
      </c>
      <c r="C8" s="59">
        <f>'[2]elsan registro'!E4+'[2]elsan registro'!E5</f>
        <v>230963.92</v>
      </c>
      <c r="D8" s="60">
        <v>0</v>
      </c>
      <c r="E8" s="61">
        <f>'[2]elsan registro'!E27</f>
        <v>245805.74</v>
      </c>
      <c r="F8" s="62">
        <v>0</v>
      </c>
      <c r="G8" s="63">
        <v>8178.87</v>
      </c>
      <c r="H8" s="64">
        <f t="shared" ref="H8:H16" si="5">+H7+C8-B8</f>
        <v>1325352.6499999999</v>
      </c>
      <c r="I8" s="21">
        <f t="shared" ref="I8:I34" si="6">+I7+E8-D8</f>
        <v>598609.64</v>
      </c>
      <c r="J8" s="65">
        <f t="shared" ref="J8:J34" si="7">+J7+G8-F8</f>
        <v>32715.48</v>
      </c>
      <c r="K8" s="53">
        <f t="shared" si="0"/>
        <v>1956677.77</v>
      </c>
      <c r="L8" s="54">
        <f t="shared" si="1"/>
        <v>1195236.2270823526</v>
      </c>
      <c r="M8" s="55">
        <f t="shared" si="2"/>
        <v>3.1394037748518846</v>
      </c>
      <c r="N8" s="56">
        <f t="shared" si="3"/>
        <v>94.182113245556536</v>
      </c>
      <c r="O8" s="56">
        <f t="shared" si="4"/>
        <v>154.18211324555654</v>
      </c>
    </row>
    <row r="9" spans="1:15">
      <c r="A9" s="57" t="s">
        <v>43</v>
      </c>
      <c r="B9" s="58">
        <v>0</v>
      </c>
      <c r="C9" s="59">
        <f>'[2]elsan registro'!E6+'[2]elsan registro'!E7</f>
        <v>244646.65</v>
      </c>
      <c r="D9" s="60">
        <v>0</v>
      </c>
      <c r="E9" s="61">
        <f>'[2]elsan registro'!E28</f>
        <v>127080.65</v>
      </c>
      <c r="F9" s="62">
        <v>0</v>
      </c>
      <c r="G9" s="63">
        <v>8178.87</v>
      </c>
      <c r="H9" s="64">
        <f t="shared" si="5"/>
        <v>1569999.2999999998</v>
      </c>
      <c r="I9" s="21">
        <f t="shared" si="6"/>
        <v>725690.29</v>
      </c>
      <c r="J9" s="52">
        <f t="shared" si="7"/>
        <v>40894.35</v>
      </c>
      <c r="K9" s="53">
        <f t="shared" si="0"/>
        <v>2336583.94</v>
      </c>
      <c r="L9" s="54">
        <f t="shared" si="1"/>
        <v>1575142.3970823525</v>
      </c>
      <c r="M9" s="55">
        <f t="shared" si="2"/>
        <v>4.1372641451812937</v>
      </c>
      <c r="N9" s="56">
        <f t="shared" si="3"/>
        <v>124.11792435543882</v>
      </c>
      <c r="O9" s="56">
        <f t="shared" si="4"/>
        <v>184.11792435543882</v>
      </c>
    </row>
    <row r="10" spans="1:15">
      <c r="A10" s="57" t="s">
        <v>44</v>
      </c>
      <c r="B10" s="58">
        <f>[2]R!G9</f>
        <v>75000</v>
      </c>
      <c r="C10" s="59">
        <f>'[2]elsan registro'!E8+'[2]elsan registro'!E9</f>
        <v>244646.65</v>
      </c>
      <c r="D10" s="60">
        <f>SUM([2]R!G35:G36)</f>
        <v>30000</v>
      </c>
      <c r="E10" s="61">
        <f>'[2]elsan registro'!E29</f>
        <v>111897.05</v>
      </c>
      <c r="F10" s="62">
        <v>0</v>
      </c>
      <c r="G10" s="63">
        <v>8178.87</v>
      </c>
      <c r="H10" s="64">
        <f t="shared" si="5"/>
        <v>1739645.9499999997</v>
      </c>
      <c r="I10" s="21">
        <f t="shared" si="6"/>
        <v>807587.34000000008</v>
      </c>
      <c r="J10" s="52">
        <f t="shared" si="7"/>
        <v>49073.22</v>
      </c>
      <c r="K10" s="53">
        <f t="shared" si="0"/>
        <v>2596306.5100000002</v>
      </c>
      <c r="L10" s="54">
        <f t="shared" si="1"/>
        <v>1834864.9670823528</v>
      </c>
      <c r="M10" s="55">
        <f t="shared" si="2"/>
        <v>4.8194506437135658</v>
      </c>
      <c r="N10" s="56">
        <f t="shared" si="3"/>
        <v>144.58351931140697</v>
      </c>
      <c r="O10" s="56">
        <f t="shared" si="4"/>
        <v>204.58351931140697</v>
      </c>
    </row>
    <row r="11" spans="1:15">
      <c r="A11" s="57" t="s">
        <v>45</v>
      </c>
      <c r="B11" s="58">
        <f>[2]R!G10+[2]R!G11</f>
        <v>100000</v>
      </c>
      <c r="C11" s="59">
        <f>'[2]elsan registro'!E10+'[2]elsan registro'!E11</f>
        <v>244646.65</v>
      </c>
      <c r="D11" s="60">
        <f>[2]R!G37</f>
        <v>30000</v>
      </c>
      <c r="E11" s="61">
        <f>'[2]elsan registro'!E30</f>
        <v>100186.69</v>
      </c>
      <c r="F11" s="62">
        <v>0</v>
      </c>
      <c r="G11" s="63">
        <v>8178.87</v>
      </c>
      <c r="H11" s="64">
        <f t="shared" si="5"/>
        <v>1884292.5999999996</v>
      </c>
      <c r="I11" s="21">
        <f t="shared" si="6"/>
        <v>877774.03</v>
      </c>
      <c r="J11" s="52">
        <f t="shared" si="7"/>
        <v>57252.090000000004</v>
      </c>
      <c r="K11" s="53">
        <f t="shared" si="0"/>
        <v>2819318.7199999997</v>
      </c>
      <c r="L11" s="54">
        <f t="shared" si="1"/>
        <v>2057877.1770823523</v>
      </c>
      <c r="M11" s="55">
        <f t="shared" si="2"/>
        <v>5.4052138242867569</v>
      </c>
      <c r="N11" s="56">
        <f t="shared" si="3"/>
        <v>162.1564147286027</v>
      </c>
      <c r="O11" s="56">
        <f t="shared" si="4"/>
        <v>222.1564147286027</v>
      </c>
    </row>
    <row r="12" spans="1:15">
      <c r="A12" s="57" t="s">
        <v>46</v>
      </c>
      <c r="B12" s="58">
        <f>[2]R!G12+[2]R!G13</f>
        <v>300000</v>
      </c>
      <c r="C12" s="59">
        <f>'[2]elsan registro'!E12+'[2]elsan registro'!E13</f>
        <v>244646.65</v>
      </c>
      <c r="D12" s="60">
        <f>SUM([2]R!G38:G39)</f>
        <v>120000</v>
      </c>
      <c r="E12" s="61">
        <f>'[2]elsan registro'!E31</f>
        <v>106490.26</v>
      </c>
      <c r="F12" s="62">
        <v>0</v>
      </c>
      <c r="G12" s="63">
        <v>8178.87</v>
      </c>
      <c r="H12" s="64">
        <f t="shared" si="5"/>
        <v>1828939.2499999995</v>
      </c>
      <c r="I12" s="21">
        <f t="shared" si="6"/>
        <v>864264.29</v>
      </c>
      <c r="J12" s="52">
        <f t="shared" si="7"/>
        <v>65430.960000000006</v>
      </c>
      <c r="K12" s="53">
        <f t="shared" si="0"/>
        <v>2758634.4999999995</v>
      </c>
      <c r="L12" s="54">
        <f t="shared" si="1"/>
        <v>1997192.9570823521</v>
      </c>
      <c r="M12" s="55">
        <f t="shared" si="2"/>
        <v>5.2458208398497002</v>
      </c>
      <c r="N12" s="56">
        <f t="shared" si="3"/>
        <v>157.37462519549101</v>
      </c>
      <c r="O12" s="56">
        <f t="shared" si="4"/>
        <v>217.37462519549101</v>
      </c>
    </row>
    <row r="13" spans="1:15">
      <c r="A13" s="57" t="s">
        <v>47</v>
      </c>
      <c r="B13" s="58">
        <f>[2]R!G14+[2]R!G15+[2]R!G16+[2]R!G17+[2]R!G18+[2]R!G19</f>
        <v>650000</v>
      </c>
      <c r="C13" s="59">
        <f>'[2]elsan registro'!E14+'[2]elsan registro'!E15</f>
        <v>244646.65</v>
      </c>
      <c r="D13" s="60">
        <f>[2]R!G40+[2]R!G41+[2]R!G42+[2]R!G43</f>
        <v>250000</v>
      </c>
      <c r="E13" s="61">
        <f>'[2]elsan registro'!E32</f>
        <v>136531.5</v>
      </c>
      <c r="F13" s="62">
        <v>0</v>
      </c>
      <c r="G13" s="63">
        <v>8178.87</v>
      </c>
      <c r="H13" s="64">
        <f t="shared" si="5"/>
        <v>1423585.8999999994</v>
      </c>
      <c r="I13" s="21">
        <f t="shared" si="6"/>
        <v>750795.79</v>
      </c>
      <c r="J13" s="52">
        <f t="shared" si="7"/>
        <v>73609.83</v>
      </c>
      <c r="K13" s="53">
        <f t="shared" si="0"/>
        <v>2247991.5199999996</v>
      </c>
      <c r="L13" s="54">
        <f t="shared" si="1"/>
        <v>1486549.9770823522</v>
      </c>
      <c r="M13" s="55">
        <f t="shared" si="2"/>
        <v>3.9045675689988668</v>
      </c>
      <c r="N13" s="56">
        <f t="shared" si="3"/>
        <v>117.13702706996601</v>
      </c>
      <c r="O13" s="56">
        <f t="shared" si="4"/>
        <v>177.137027069966</v>
      </c>
    </row>
    <row r="14" spans="1:15">
      <c r="A14" s="57" t="s">
        <v>48</v>
      </c>
      <c r="B14" s="58">
        <f>[2]R!G20+[2]R!G21+[2]R!G22</f>
        <v>289566.19999999995</v>
      </c>
      <c r="C14" s="59">
        <f>'[2]elsan registro'!E16+'[2]elsan registro'!E17</f>
        <v>230963.88</v>
      </c>
      <c r="D14" s="60">
        <f>[2]R!G44</f>
        <v>60000</v>
      </c>
      <c r="E14" s="61">
        <f>'[2]elsan registro'!E33</f>
        <v>147648.01</v>
      </c>
      <c r="F14" s="62">
        <f>[2]R!G56+[2]R!G57+[2]R!G58</f>
        <v>24536.61</v>
      </c>
      <c r="G14" s="63">
        <v>8178.87</v>
      </c>
      <c r="H14" s="64">
        <f t="shared" si="5"/>
        <v>1364983.5799999994</v>
      </c>
      <c r="I14" s="21">
        <f t="shared" si="6"/>
        <v>838443.8</v>
      </c>
      <c r="J14" s="52">
        <f t="shared" si="7"/>
        <v>57252.09</v>
      </c>
      <c r="K14" s="53">
        <f t="shared" si="0"/>
        <v>2260679.4699999993</v>
      </c>
      <c r="L14" s="54">
        <f t="shared" si="1"/>
        <v>1499237.9270823519</v>
      </c>
      <c r="M14" s="55">
        <f t="shared" si="2"/>
        <v>3.9378936992002287</v>
      </c>
      <c r="N14" s="56">
        <f t="shared" si="3"/>
        <v>118.13681097600686</v>
      </c>
      <c r="O14" s="56">
        <f t="shared" si="4"/>
        <v>178.13681097600687</v>
      </c>
    </row>
    <row r="15" spans="1:15">
      <c r="A15" s="57" t="s">
        <v>49</v>
      </c>
      <c r="B15" s="58">
        <v>0</v>
      </c>
      <c r="C15" s="66">
        <f>'[2]elsan registro'!E18</f>
        <v>217281.19</v>
      </c>
      <c r="D15" s="60">
        <v>0</v>
      </c>
      <c r="E15" s="67">
        <f>'[2]elsan registro'!E34</f>
        <v>120182.19</v>
      </c>
      <c r="F15" s="62">
        <v>0</v>
      </c>
      <c r="G15" s="63">
        <v>8178.87</v>
      </c>
      <c r="H15" s="64">
        <f t="shared" si="5"/>
        <v>1582264.7699999993</v>
      </c>
      <c r="I15" s="21">
        <f t="shared" si="6"/>
        <v>958625.99</v>
      </c>
      <c r="J15" s="52">
        <f t="shared" si="7"/>
        <v>65430.96</v>
      </c>
      <c r="K15" s="53">
        <f t="shared" si="0"/>
        <v>2606321.7199999993</v>
      </c>
      <c r="L15" s="54">
        <f t="shared" si="1"/>
        <v>1844880.1770823519</v>
      </c>
      <c r="M15" s="55">
        <f t="shared" si="2"/>
        <v>4.8457565633029365</v>
      </c>
      <c r="N15" s="56">
        <f t="shared" si="3"/>
        <v>145.37269689908808</v>
      </c>
      <c r="O15" s="56">
        <f t="shared" si="4"/>
        <v>205.37269689908808</v>
      </c>
    </row>
    <row r="16" spans="1:15">
      <c r="A16" s="57" t="s">
        <v>50</v>
      </c>
      <c r="B16" s="58">
        <v>0</v>
      </c>
      <c r="C16" s="66">
        <f>'[2]elsan registro'!E19</f>
        <v>217281.19</v>
      </c>
      <c r="D16" s="60">
        <f>[2]R!G45+[2]R!G46+[2]R!G47</f>
        <v>120000.00000000001</v>
      </c>
      <c r="E16" s="67">
        <f>'[2]elsan registro'!E35+'[2]elsan registro'!E36</f>
        <v>142044.61000000002</v>
      </c>
      <c r="F16" s="62">
        <v>0</v>
      </c>
      <c r="G16" s="63">
        <f>'[2]elsan registro'!E52+'[2]elsan registro'!E53</f>
        <v>8178.9</v>
      </c>
      <c r="H16" s="64">
        <f t="shared" si="5"/>
        <v>1799545.9599999993</v>
      </c>
      <c r="I16" s="21">
        <f t="shared" si="6"/>
        <v>980670.60000000009</v>
      </c>
      <c r="J16" s="52">
        <f t="shared" si="7"/>
        <v>73609.86</v>
      </c>
      <c r="K16" s="53">
        <f t="shared" si="0"/>
        <v>2853826.4199999995</v>
      </c>
      <c r="L16" s="54">
        <f t="shared" si="1"/>
        <v>2092384.8770823521</v>
      </c>
      <c r="M16" s="55">
        <f t="shared" si="2"/>
        <v>5.4958516423069685</v>
      </c>
      <c r="N16" s="56">
        <f t="shared" si="3"/>
        <v>164.87554926920905</v>
      </c>
      <c r="O16" s="56">
        <f t="shared" si="4"/>
        <v>224.87554926920905</v>
      </c>
    </row>
    <row r="17" spans="1:15">
      <c r="A17" s="57" t="s">
        <v>51</v>
      </c>
      <c r="B17" s="58">
        <f>[2]R!G25+[2]R!G24+[2]R!G23</f>
        <v>183642.26</v>
      </c>
      <c r="C17" s="66">
        <f>'[2]elsan registro'!E20</f>
        <v>217281.19</v>
      </c>
      <c r="D17" s="60">
        <f>[2]R!G48</f>
        <v>80000</v>
      </c>
      <c r="E17" s="67">
        <f>'[2]elsan registro'!E37</f>
        <v>160067.28</v>
      </c>
      <c r="F17" s="62">
        <f>[2]R!G59+[2]R!G60</f>
        <v>16357.74</v>
      </c>
      <c r="G17" s="63">
        <v>8178.87</v>
      </c>
      <c r="H17" s="64">
        <f t="shared" ref="H17:H34" si="8">H16-B17+C17</f>
        <v>1833184.8899999992</v>
      </c>
      <c r="I17" s="21">
        <f t="shared" si="6"/>
        <v>1060737.8800000001</v>
      </c>
      <c r="J17" s="52">
        <f t="shared" si="7"/>
        <v>65430.99</v>
      </c>
      <c r="K17" s="53">
        <f t="shared" si="0"/>
        <v>2959353.76</v>
      </c>
      <c r="L17" s="54">
        <f t="shared" si="1"/>
        <v>2197912.2170823524</v>
      </c>
      <c r="M17" s="55">
        <f t="shared" si="2"/>
        <v>5.7730294269485762</v>
      </c>
      <c r="N17" s="56">
        <f t="shared" si="3"/>
        <v>173.19088280845727</v>
      </c>
      <c r="O17" s="56">
        <f t="shared" si="4"/>
        <v>233.19088280845727</v>
      </c>
    </row>
    <row r="18" spans="1:15">
      <c r="A18" s="57" t="s">
        <v>52</v>
      </c>
      <c r="B18" s="68">
        <f>[2]R!G26+[2]R!G27+[2]R!G28+[2]R!G29</f>
        <v>162028.03</v>
      </c>
      <c r="C18" s="66">
        <f>'[2]elsan registro'!E21</f>
        <v>217281.19</v>
      </c>
      <c r="D18" s="69">
        <v>29793.1</v>
      </c>
      <c r="E18" s="67">
        <f>'[2]elsan registro'!E38</f>
        <v>127179.65</v>
      </c>
      <c r="F18" s="70">
        <f>[2]R!G61</f>
        <v>8178.87</v>
      </c>
      <c r="G18" s="71">
        <v>8178.87</v>
      </c>
      <c r="H18" s="72">
        <f t="shared" si="8"/>
        <v>1888438.0499999991</v>
      </c>
      <c r="I18" s="19">
        <f t="shared" si="6"/>
        <v>1158124.43</v>
      </c>
      <c r="J18" s="73">
        <f t="shared" si="7"/>
        <v>65430.99</v>
      </c>
      <c r="K18" s="53">
        <f t="shared" si="0"/>
        <v>3111993.4699999993</v>
      </c>
      <c r="L18" s="74">
        <f t="shared" si="1"/>
        <v>2350551.9270823519</v>
      </c>
      <c r="M18" s="75">
        <f t="shared" si="2"/>
        <v>6.1739524168215043</v>
      </c>
      <c r="N18" s="76">
        <f t="shared" si="3"/>
        <v>185.21857250464512</v>
      </c>
      <c r="O18" s="76">
        <f t="shared" si="4"/>
        <v>245.21857250464512</v>
      </c>
    </row>
    <row r="19" spans="1:15">
      <c r="A19" s="57" t="s">
        <v>53</v>
      </c>
      <c r="B19" s="68">
        <v>0</v>
      </c>
      <c r="C19" s="66">
        <f>'[2]elsan registro'!E22</f>
        <v>217281.19</v>
      </c>
      <c r="D19" s="69">
        <v>0</v>
      </c>
      <c r="E19" s="67">
        <f>'[2]elsan registro'!E39</f>
        <v>222559.35</v>
      </c>
      <c r="F19" s="70">
        <v>0</v>
      </c>
      <c r="G19" s="71">
        <v>8178.87</v>
      </c>
      <c r="H19" s="72">
        <f t="shared" si="8"/>
        <v>2105719.2399999993</v>
      </c>
      <c r="I19" s="19">
        <f t="shared" si="6"/>
        <v>1380683.78</v>
      </c>
      <c r="J19" s="73">
        <f t="shared" si="7"/>
        <v>73609.86</v>
      </c>
      <c r="K19" s="53">
        <f t="shared" si="0"/>
        <v>3560012.8799999994</v>
      </c>
      <c r="L19" s="74">
        <f t="shared" si="1"/>
        <v>2798571.337082352</v>
      </c>
      <c r="M19" s="75">
        <f t="shared" si="2"/>
        <v>7.3507188125274849</v>
      </c>
      <c r="N19" s="76">
        <f t="shared" si="3"/>
        <v>220.52156437582454</v>
      </c>
      <c r="O19" s="76">
        <f t="shared" si="4"/>
        <v>280.52156437582454</v>
      </c>
    </row>
    <row r="20" spans="1:15">
      <c r="A20" s="57" t="s">
        <v>54</v>
      </c>
      <c r="B20" s="68">
        <v>0</v>
      </c>
      <c r="C20" s="66">
        <f>'[2]elsan registro'!E62</f>
        <v>17424.98</v>
      </c>
      <c r="D20" s="69">
        <v>0</v>
      </c>
      <c r="E20" s="67">
        <f>'[2]elsan registro'!E85</f>
        <v>122671</v>
      </c>
      <c r="F20" s="70">
        <v>0</v>
      </c>
      <c r="G20" s="71">
        <v>8178.89</v>
      </c>
      <c r="H20" s="72">
        <f t="shared" si="8"/>
        <v>2123144.2199999993</v>
      </c>
      <c r="I20" s="19">
        <f t="shared" si="6"/>
        <v>1503354.78</v>
      </c>
      <c r="J20" s="73">
        <f t="shared" si="7"/>
        <v>81788.75</v>
      </c>
      <c r="K20" s="53">
        <f t="shared" si="0"/>
        <v>3708287.7499999991</v>
      </c>
      <c r="L20" s="74">
        <f t="shared" si="1"/>
        <v>2946846.2070823517</v>
      </c>
      <c r="M20" s="75">
        <f t="shared" si="2"/>
        <v>7.7401771271653983</v>
      </c>
      <c r="N20" s="76">
        <f t="shared" si="3"/>
        <v>232.20531381496195</v>
      </c>
      <c r="O20" s="76">
        <f t="shared" si="4"/>
        <v>292.20531381496198</v>
      </c>
    </row>
    <row r="21" spans="1:15">
      <c r="A21" s="77" t="s">
        <v>55</v>
      </c>
      <c r="B21" s="68">
        <v>38102.949999999997</v>
      </c>
      <c r="C21" s="66">
        <f>'[2]elsan registro'!E63</f>
        <v>217281.19</v>
      </c>
      <c r="D21" s="69">
        <f>[2]R!G98</f>
        <v>111897.05</v>
      </c>
      <c r="E21" s="67">
        <f>'[2]elsan registro'!E86</f>
        <v>126208.3</v>
      </c>
      <c r="F21" s="70">
        <v>0</v>
      </c>
      <c r="G21" s="71">
        <v>8178.89</v>
      </c>
      <c r="H21" s="72">
        <f t="shared" si="8"/>
        <v>2302322.4599999995</v>
      </c>
      <c r="I21" s="19">
        <f t="shared" si="6"/>
        <v>1517666.03</v>
      </c>
      <c r="J21" s="73">
        <f t="shared" si="7"/>
        <v>89967.64</v>
      </c>
      <c r="K21" s="53">
        <f t="shared" si="0"/>
        <v>3909956.1299999994</v>
      </c>
      <c r="L21" s="74">
        <f t="shared" si="1"/>
        <v>3148514.587082352</v>
      </c>
      <c r="M21" s="75">
        <f t="shared" si="2"/>
        <v>8.2698786699187892</v>
      </c>
      <c r="N21" s="76">
        <f t="shared" si="3"/>
        <v>248.09636009756366</v>
      </c>
      <c r="O21" s="76">
        <f t="shared" si="4"/>
        <v>308.09636009756366</v>
      </c>
    </row>
    <row r="22" spans="1:15">
      <c r="A22" s="77" t="s">
        <v>56</v>
      </c>
      <c r="B22" s="68">
        <v>0</v>
      </c>
      <c r="C22" s="66">
        <f>'[2]elsan registro'!E64+'[2]elsan registro'!E65</f>
        <v>434562.38</v>
      </c>
      <c r="D22" s="69">
        <v>0</v>
      </c>
      <c r="E22" s="67">
        <f>'[2]elsan registro'!E87</f>
        <v>155740.64000000001</v>
      </c>
      <c r="F22" s="70">
        <v>0</v>
      </c>
      <c r="G22" s="71">
        <v>8178.89</v>
      </c>
      <c r="H22" s="72">
        <f t="shared" si="8"/>
        <v>2736884.8399999994</v>
      </c>
      <c r="I22" s="19">
        <f t="shared" si="6"/>
        <v>1673406.67</v>
      </c>
      <c r="J22" s="73">
        <f t="shared" si="7"/>
        <v>98146.53</v>
      </c>
      <c r="K22" s="53">
        <f t="shared" si="0"/>
        <v>4508438.04</v>
      </c>
      <c r="L22" s="74">
        <f t="shared" si="1"/>
        <v>3746996.4970823526</v>
      </c>
      <c r="M22" s="75">
        <f t="shared" si="2"/>
        <v>9.8418494024500696</v>
      </c>
      <c r="N22" s="76">
        <f t="shared" si="3"/>
        <v>295.25548207350209</v>
      </c>
      <c r="O22" s="76">
        <f t="shared" si="4"/>
        <v>355.25548207350209</v>
      </c>
    </row>
    <row r="23" spans="1:15">
      <c r="A23" s="77" t="s">
        <v>57</v>
      </c>
      <c r="B23" s="68">
        <v>0</v>
      </c>
      <c r="C23" s="66">
        <f>'[2]elsan registro'!E66+'[2]elsan registro'!E67</f>
        <v>434562.38</v>
      </c>
      <c r="D23" s="69">
        <v>0</v>
      </c>
      <c r="E23" s="67">
        <f>'[2]elsan registro'!E88</f>
        <v>145930.04</v>
      </c>
      <c r="F23" s="70">
        <v>0</v>
      </c>
      <c r="G23" s="71">
        <v>8178.87</v>
      </c>
      <c r="H23" s="72">
        <f t="shared" si="8"/>
        <v>3171447.2199999993</v>
      </c>
      <c r="I23" s="19">
        <f t="shared" si="6"/>
        <v>1819336.71</v>
      </c>
      <c r="J23" s="73">
        <f t="shared" si="7"/>
        <v>106325.4</v>
      </c>
      <c r="K23" s="53">
        <f t="shared" si="0"/>
        <v>5097109.33</v>
      </c>
      <c r="L23" s="74">
        <f t="shared" si="1"/>
        <v>4335667.7870823527</v>
      </c>
      <c r="M23" s="75">
        <f t="shared" si="2"/>
        <v>11.388051590852776</v>
      </c>
      <c r="N23" s="76">
        <f t="shared" si="3"/>
        <v>341.64154772558328</v>
      </c>
      <c r="O23" s="76">
        <f t="shared" si="4"/>
        <v>401.64154772558328</v>
      </c>
    </row>
    <row r="24" spans="1:15">
      <c r="A24" s="77" t="s">
        <v>58</v>
      </c>
      <c r="B24" s="68">
        <v>0</v>
      </c>
      <c r="C24" s="66">
        <f>'[2]elsan registro'!E68+'[2]elsan registro'!E69</f>
        <v>50042.1</v>
      </c>
      <c r="D24" s="69">
        <v>0</v>
      </c>
      <c r="E24" s="67">
        <f>'[2]elsan registro'!E89</f>
        <v>127148.97</v>
      </c>
      <c r="F24" s="70">
        <v>0</v>
      </c>
      <c r="G24" s="71">
        <v>8178.87</v>
      </c>
      <c r="H24" s="72">
        <f t="shared" si="8"/>
        <v>3221489.3199999994</v>
      </c>
      <c r="I24" s="19">
        <f t="shared" si="6"/>
        <v>1946485.68</v>
      </c>
      <c r="J24" s="73">
        <f t="shared" si="7"/>
        <v>114504.26999999999</v>
      </c>
      <c r="K24" s="53">
        <f t="shared" si="0"/>
        <v>5282479.2699999986</v>
      </c>
      <c r="L24" s="74">
        <f t="shared" si="1"/>
        <v>4521037.7270823512</v>
      </c>
      <c r="M24" s="75">
        <f t="shared" si="2"/>
        <v>11.874943701545105</v>
      </c>
      <c r="N24" s="76">
        <f t="shared" si="3"/>
        <v>356.24831104635314</v>
      </c>
      <c r="O24" s="76">
        <f t="shared" si="4"/>
        <v>416.24831104635314</v>
      </c>
    </row>
    <row r="25" spans="1:15">
      <c r="A25" s="57" t="s">
        <v>59</v>
      </c>
      <c r="B25" s="68">
        <v>0</v>
      </c>
      <c r="C25" s="66">
        <f>'[2]elsan registro'!E70+'[2]elsan registro'!E71</f>
        <v>242302.24</v>
      </c>
      <c r="D25" s="69">
        <v>0</v>
      </c>
      <c r="E25" s="67">
        <v>0</v>
      </c>
      <c r="F25" s="70">
        <v>0</v>
      </c>
      <c r="G25" s="71">
        <v>8178.87</v>
      </c>
      <c r="H25" s="72">
        <f t="shared" si="8"/>
        <v>3463791.5599999996</v>
      </c>
      <c r="I25" s="19">
        <f t="shared" si="6"/>
        <v>1946485.68</v>
      </c>
      <c r="J25" s="73">
        <f t="shared" si="7"/>
        <v>122683.13999999998</v>
      </c>
      <c r="K25" s="53">
        <f t="shared" si="0"/>
        <v>5532960.379999999</v>
      </c>
      <c r="L25" s="74">
        <f t="shared" si="1"/>
        <v>4771518.8370823516</v>
      </c>
      <c r="M25" s="75">
        <f t="shared" si="2"/>
        <v>12.532856609843282</v>
      </c>
      <c r="N25" s="76">
        <f t="shared" si="3"/>
        <v>375.98569829529845</v>
      </c>
      <c r="O25" s="76">
        <f t="shared" si="4"/>
        <v>435.98569829529845</v>
      </c>
    </row>
    <row r="26" spans="1:15">
      <c r="A26" s="57" t="s">
        <v>60</v>
      </c>
      <c r="B26" s="68">
        <f>+[2]R!G71+[2]R!G72+[2]R!G73+[2]R!G74+[2]R!G75+[2]R!G76+[2]R!G77</f>
        <v>675655.90999999992</v>
      </c>
      <c r="C26" s="66">
        <f>'[2]elsan registro'!E72+'[2]elsan registro'!E73</f>
        <v>242302.24</v>
      </c>
      <c r="D26" s="69">
        <f>[2]R!G99</f>
        <v>100186.69</v>
      </c>
      <c r="E26" s="67">
        <v>0</v>
      </c>
      <c r="F26" s="70">
        <f>[2]R!G111+[2]R!G112+[2]R!G113</f>
        <v>24536.61</v>
      </c>
      <c r="G26" s="71">
        <v>8178.87</v>
      </c>
      <c r="H26" s="72">
        <f t="shared" si="8"/>
        <v>3030437.8899999997</v>
      </c>
      <c r="I26" s="19">
        <f t="shared" si="6"/>
        <v>1846298.99</v>
      </c>
      <c r="J26" s="73">
        <f t="shared" si="7"/>
        <v>106325.39999999998</v>
      </c>
      <c r="K26" s="53">
        <f t="shared" si="0"/>
        <v>4983062.28</v>
      </c>
      <c r="L26" s="74">
        <f t="shared" si="1"/>
        <v>4221620.7370823529</v>
      </c>
      <c r="M26" s="75">
        <f t="shared" si="2"/>
        <v>11.08849596229329</v>
      </c>
      <c r="N26" s="76">
        <f t="shared" si="3"/>
        <v>332.65487886879873</v>
      </c>
      <c r="O26" s="76">
        <f t="shared" si="4"/>
        <v>392.65487886879873</v>
      </c>
    </row>
    <row r="27" spans="1:15">
      <c r="A27" s="57" t="s">
        <v>61</v>
      </c>
      <c r="B27" s="68">
        <f>[2]R!G78</f>
        <v>48799.37</v>
      </c>
      <c r="C27" s="66">
        <f>'[2]elsan registro'!E74+'[2]elsan registro'!E75</f>
        <v>242302.24</v>
      </c>
      <c r="D27" s="69">
        <f>[2]R!G100+[2]R!G101</f>
        <v>243021.76</v>
      </c>
      <c r="E27" s="67">
        <v>0</v>
      </c>
      <c r="F27" s="70">
        <f>[2]R!G114</f>
        <v>8178.87</v>
      </c>
      <c r="G27" s="71">
        <v>8178.87</v>
      </c>
      <c r="H27" s="72">
        <f t="shared" si="8"/>
        <v>3223940.76</v>
      </c>
      <c r="I27" s="19">
        <f t="shared" si="6"/>
        <v>1603277.23</v>
      </c>
      <c r="J27" s="73">
        <f t="shared" si="7"/>
        <v>106325.39999999998</v>
      </c>
      <c r="K27" s="53">
        <f t="shared" si="0"/>
        <v>4933543.3900000006</v>
      </c>
      <c r="L27" s="74">
        <f t="shared" si="1"/>
        <v>4172101.8470823532</v>
      </c>
      <c r="M27" s="75">
        <f t="shared" si="2"/>
        <v>10.95842979907804</v>
      </c>
      <c r="N27" s="76">
        <f t="shared" si="3"/>
        <v>328.75289397234121</v>
      </c>
      <c r="O27" s="76">
        <f t="shared" si="4"/>
        <v>388.75289397234121</v>
      </c>
    </row>
    <row r="28" spans="1:15">
      <c r="A28" s="57" t="s">
        <v>62</v>
      </c>
      <c r="B28" s="68">
        <v>0</v>
      </c>
      <c r="C28" s="66">
        <f>'[2]elsan registro'!E76+'[2]elsan registro'!E77</f>
        <v>225352.51</v>
      </c>
      <c r="D28" s="69">
        <v>0</v>
      </c>
      <c r="E28" s="67">
        <v>0</v>
      </c>
      <c r="F28" s="70">
        <v>0</v>
      </c>
      <c r="G28" s="71">
        <v>8178.87</v>
      </c>
      <c r="H28" s="72">
        <f t="shared" si="8"/>
        <v>3449293.2699999996</v>
      </c>
      <c r="I28" s="19">
        <f t="shared" si="6"/>
        <v>1603277.23</v>
      </c>
      <c r="J28" s="73">
        <f t="shared" si="7"/>
        <v>114504.26999999997</v>
      </c>
      <c r="K28" s="53">
        <f t="shared" si="0"/>
        <v>5167074.7699999996</v>
      </c>
      <c r="L28" s="74">
        <f t="shared" si="1"/>
        <v>4405633.2270823522</v>
      </c>
      <c r="M28" s="75">
        <f t="shared" si="2"/>
        <v>11.571822599016869</v>
      </c>
      <c r="N28" s="76">
        <f t="shared" si="3"/>
        <v>347.1546779705061</v>
      </c>
      <c r="O28" s="76">
        <f t="shared" si="4"/>
        <v>407.1546779705061</v>
      </c>
    </row>
    <row r="29" spans="1:15">
      <c r="A29" s="57" t="s">
        <v>63</v>
      </c>
      <c r="B29" s="68">
        <v>0</v>
      </c>
      <c r="C29" s="66">
        <f>'[2]elsan registro'!E78</f>
        <v>217281.19</v>
      </c>
      <c r="D29" s="69">
        <v>0</v>
      </c>
      <c r="E29" s="67">
        <v>0</v>
      </c>
      <c r="F29" s="70">
        <v>0</v>
      </c>
      <c r="G29" s="71">
        <f>'[2]elsan registro'!E103</f>
        <v>8178.87</v>
      </c>
      <c r="H29" s="72">
        <f t="shared" si="8"/>
        <v>3666574.4599999995</v>
      </c>
      <c r="I29" s="19">
        <f t="shared" si="6"/>
        <v>1603277.23</v>
      </c>
      <c r="J29" s="73">
        <f t="shared" si="7"/>
        <v>122683.13999999997</v>
      </c>
      <c r="K29" s="53">
        <f t="shared" si="0"/>
        <v>5392534.8299999991</v>
      </c>
      <c r="L29" s="74">
        <f t="shared" si="1"/>
        <v>4631093.2870823517</v>
      </c>
      <c r="M29" s="75">
        <f t="shared" si="2"/>
        <v>12.164015294824074</v>
      </c>
      <c r="N29" s="76">
        <f t="shared" si="3"/>
        <v>364.92045884472219</v>
      </c>
      <c r="O29" s="76">
        <f t="shared" si="4"/>
        <v>424.92045884472219</v>
      </c>
    </row>
    <row r="30" spans="1:15">
      <c r="A30" s="57" t="s">
        <v>64</v>
      </c>
      <c r="B30" s="68">
        <v>0</v>
      </c>
      <c r="C30" s="66">
        <f>'[2]elsan registro'!E79</f>
        <v>217281.19</v>
      </c>
      <c r="D30" s="69">
        <v>0</v>
      </c>
      <c r="E30" s="67">
        <v>0</v>
      </c>
      <c r="F30" s="70">
        <v>0</v>
      </c>
      <c r="G30" s="71">
        <f>'[2]elsan registro'!E104</f>
        <v>8178.87</v>
      </c>
      <c r="H30" s="72">
        <f t="shared" si="8"/>
        <v>3883855.6499999994</v>
      </c>
      <c r="I30" s="19">
        <f t="shared" si="6"/>
        <v>1603277.23</v>
      </c>
      <c r="J30" s="73">
        <f t="shared" si="7"/>
        <v>130862.00999999997</v>
      </c>
      <c r="K30" s="53">
        <f t="shared" si="0"/>
        <v>5617994.8899999987</v>
      </c>
      <c r="L30" s="74">
        <f t="shared" si="1"/>
        <v>4856553.3470823513</v>
      </c>
      <c r="M30" s="75">
        <f t="shared" si="2"/>
        <v>12.75620799063128</v>
      </c>
      <c r="N30" s="76">
        <f t="shared" si="3"/>
        <v>382.6862397189384</v>
      </c>
      <c r="O30" s="76">
        <f t="shared" si="4"/>
        <v>442.6862397189384</v>
      </c>
    </row>
    <row r="31" spans="1:15">
      <c r="A31" s="57" t="s">
        <v>65</v>
      </c>
      <c r="B31" s="68">
        <f>SUM([2]R!G79+[2]R!G80+[2]R!G81+[2]R!G82+[2]R!G83+[2]R!G84+[2]R!G85+[2]R!G86+[2]R!G87+[2]R!G88+[2]R!G89+[2]R!G90+[2]R!G91+[2]R!G92)</f>
        <v>2129474.6800000002</v>
      </c>
      <c r="C31" s="66">
        <f>'[2]elsan registro'!E80</f>
        <v>217281.19</v>
      </c>
      <c r="D31" s="69">
        <f>[2]R!G102+[2]R!G103+[2]R!G104+[2]R!G105</f>
        <v>526054.81999999995</v>
      </c>
      <c r="E31" s="67">
        <v>0</v>
      </c>
      <c r="F31" s="70">
        <f>[2]R!G115</f>
        <v>8178.87</v>
      </c>
      <c r="G31" s="71">
        <f>'[2]elsan registro'!E105</f>
        <v>8178.87</v>
      </c>
      <c r="H31" s="72">
        <f t="shared" si="8"/>
        <v>1971662.1599999992</v>
      </c>
      <c r="I31" s="19">
        <f t="shared" si="6"/>
        <v>1077222.4100000001</v>
      </c>
      <c r="J31" s="73">
        <f t="shared" si="7"/>
        <v>130862.00999999998</v>
      </c>
      <c r="K31" s="53">
        <f t="shared" si="0"/>
        <v>3179746.5799999991</v>
      </c>
      <c r="L31" s="74">
        <f t="shared" si="1"/>
        <v>2418305.0370823517</v>
      </c>
      <c r="M31" s="75">
        <f t="shared" si="2"/>
        <v>6.3519125258546616</v>
      </c>
      <c r="N31" s="76">
        <f t="shared" si="3"/>
        <v>190.55737577563985</v>
      </c>
      <c r="O31" s="76">
        <f t="shared" si="4"/>
        <v>250.55737577563985</v>
      </c>
    </row>
    <row r="32" spans="1:15">
      <c r="A32" s="57" t="s">
        <v>66</v>
      </c>
      <c r="B32" s="68">
        <v>0</v>
      </c>
      <c r="C32" s="78">
        <f>'[2]elsan registro'!E111</f>
        <v>217281.19</v>
      </c>
      <c r="D32" s="69">
        <v>0</v>
      </c>
      <c r="E32" s="19">
        <v>0</v>
      </c>
      <c r="F32" s="70">
        <v>0</v>
      </c>
      <c r="G32" s="71">
        <f>'[2]elsan registro'!E117</f>
        <v>8178.87</v>
      </c>
      <c r="H32" s="72">
        <f t="shared" si="8"/>
        <v>2188943.3499999992</v>
      </c>
      <c r="I32" s="19">
        <f t="shared" si="6"/>
        <v>1077222.4100000001</v>
      </c>
      <c r="J32" s="73">
        <f t="shared" si="7"/>
        <v>139040.87999999998</v>
      </c>
      <c r="K32" s="53">
        <f t="shared" si="0"/>
        <v>3405206.6399999992</v>
      </c>
      <c r="L32" s="74">
        <f t="shared" si="1"/>
        <v>2643765.0970823518</v>
      </c>
      <c r="M32" s="75">
        <f t="shared" si="2"/>
        <v>6.9441052216618679</v>
      </c>
      <c r="N32" s="76">
        <f t="shared" si="3"/>
        <v>208.32315664985603</v>
      </c>
      <c r="O32" s="76">
        <f t="shared" si="4"/>
        <v>268.32315664985606</v>
      </c>
    </row>
    <row r="33" spans="1:15">
      <c r="A33" s="57" t="s">
        <v>67</v>
      </c>
      <c r="B33" s="68">
        <f>[2]R!H122</f>
        <v>25645.52</v>
      </c>
      <c r="C33" s="78">
        <v>0</v>
      </c>
      <c r="D33" s="69">
        <v>0</v>
      </c>
      <c r="E33" s="19">
        <v>0</v>
      </c>
      <c r="F33" s="70">
        <v>0</v>
      </c>
      <c r="G33" s="79">
        <v>0</v>
      </c>
      <c r="H33" s="72">
        <f t="shared" si="8"/>
        <v>2163297.8299999991</v>
      </c>
      <c r="I33" s="19">
        <f t="shared" si="6"/>
        <v>1077222.4100000001</v>
      </c>
      <c r="J33" s="73">
        <f t="shared" si="7"/>
        <v>139040.87999999998</v>
      </c>
      <c r="K33" s="53">
        <f t="shared" si="0"/>
        <v>3379561.1199999992</v>
      </c>
      <c r="L33" s="74">
        <f t="shared" si="1"/>
        <v>2618119.5770823518</v>
      </c>
      <c r="M33" s="75">
        <f t="shared" si="2"/>
        <v>6.876744778201604</v>
      </c>
      <c r="N33" s="76">
        <f t="shared" si="3"/>
        <v>206.30234334604813</v>
      </c>
      <c r="O33" s="76">
        <f t="shared" si="4"/>
        <v>266.30234334604813</v>
      </c>
    </row>
    <row r="34" spans="1:15">
      <c r="A34" s="57" t="s">
        <v>68</v>
      </c>
      <c r="B34" s="68">
        <f>[2]R!H123</f>
        <v>217281.19</v>
      </c>
      <c r="C34" s="78">
        <v>0</v>
      </c>
      <c r="D34" s="69">
        <f>[2]R!H124</f>
        <v>155740.64000000001</v>
      </c>
      <c r="E34" s="19">
        <v>0</v>
      </c>
      <c r="F34" s="70">
        <v>0</v>
      </c>
      <c r="G34" s="79">
        <v>0</v>
      </c>
      <c r="H34" s="72">
        <f t="shared" si="8"/>
        <v>1946016.6399999992</v>
      </c>
      <c r="I34" s="19">
        <f t="shared" si="6"/>
        <v>921481.77000000014</v>
      </c>
      <c r="J34" s="73">
        <f t="shared" si="7"/>
        <v>139040.87999999998</v>
      </c>
      <c r="K34" s="53">
        <f t="shared" si="0"/>
        <v>3006539.2899999991</v>
      </c>
      <c r="L34" s="74">
        <f t="shared" si="1"/>
        <v>2245097.7470823517</v>
      </c>
      <c r="M34" s="75">
        <f t="shared" si="2"/>
        <v>5.8969667940094705</v>
      </c>
      <c r="N34" s="76">
        <f t="shared" si="3"/>
        <v>176.90900382028411</v>
      </c>
      <c r="O34" s="76">
        <f t="shared" si="4"/>
        <v>236.90900382028411</v>
      </c>
    </row>
    <row r="35" spans="1:15">
      <c r="A35" s="57" t="s">
        <v>69</v>
      </c>
      <c r="B35" s="68"/>
      <c r="C35" s="78"/>
      <c r="D35" s="69"/>
      <c r="E35" s="19"/>
      <c r="F35" s="70"/>
      <c r="G35" s="79"/>
      <c r="H35" s="72"/>
      <c r="I35" s="19"/>
      <c r="J35" s="73"/>
      <c r="K35" s="53"/>
      <c r="L35" s="74"/>
      <c r="M35" s="75"/>
      <c r="N35" s="76"/>
      <c r="O35" s="76"/>
    </row>
    <row r="36" spans="1:15">
      <c r="A36" s="57" t="s">
        <v>70</v>
      </c>
      <c r="B36" s="68"/>
      <c r="C36" s="78"/>
      <c r="D36" s="69"/>
      <c r="E36" s="19"/>
      <c r="F36" s="70"/>
      <c r="G36" s="79"/>
      <c r="H36" s="72"/>
      <c r="I36" s="19"/>
      <c r="J36" s="73"/>
      <c r="K36" s="80"/>
      <c r="L36" s="74"/>
      <c r="M36" s="75"/>
      <c r="N36" s="76"/>
      <c r="O36" s="76"/>
    </row>
    <row r="37" spans="1:15">
      <c r="A37" s="57" t="s">
        <v>71</v>
      </c>
      <c r="B37" s="68"/>
      <c r="C37" s="78"/>
      <c r="D37" s="69"/>
      <c r="E37" s="19"/>
      <c r="F37" s="70"/>
      <c r="G37" s="79"/>
      <c r="H37" s="72"/>
      <c r="I37" s="19"/>
      <c r="J37" s="73"/>
      <c r="K37" s="80"/>
      <c r="L37" s="74"/>
      <c r="M37" s="75"/>
      <c r="N37" s="76"/>
      <c r="O37" s="76"/>
    </row>
    <row r="38" spans="1:15">
      <c r="A38" s="57" t="s">
        <v>72</v>
      </c>
      <c r="B38" s="68"/>
      <c r="C38" s="78"/>
      <c r="D38" s="69"/>
      <c r="E38" s="19"/>
      <c r="F38" s="70"/>
      <c r="G38" s="79"/>
      <c r="H38" s="72"/>
      <c r="I38" s="19"/>
      <c r="J38" s="73"/>
      <c r="K38" s="80"/>
      <c r="L38" s="74"/>
      <c r="M38" s="75"/>
      <c r="N38" s="76"/>
      <c r="O38" s="76"/>
    </row>
    <row r="39" spans="1:15">
      <c r="A39" s="57" t="s">
        <v>73</v>
      </c>
      <c r="B39" s="68"/>
      <c r="C39" s="78"/>
      <c r="D39" s="69"/>
      <c r="E39" s="19"/>
      <c r="F39" s="70"/>
      <c r="G39" s="79"/>
      <c r="H39" s="72"/>
      <c r="I39" s="19"/>
      <c r="J39" s="73"/>
      <c r="K39" s="80"/>
      <c r="L39" s="74"/>
      <c r="M39" s="75"/>
      <c r="N39" s="76"/>
      <c r="O39" s="76"/>
    </row>
    <row r="40" spans="1:15">
      <c r="A40" s="57" t="s">
        <v>74</v>
      </c>
      <c r="B40" s="68"/>
      <c r="C40" s="78"/>
      <c r="D40" s="69"/>
      <c r="E40" s="19"/>
      <c r="F40" s="70"/>
      <c r="G40" s="79"/>
      <c r="H40" s="72"/>
      <c r="I40" s="19"/>
      <c r="J40" s="73"/>
      <c r="K40" s="80"/>
      <c r="L40" s="74"/>
      <c r="M40" s="75"/>
      <c r="N40" s="76"/>
      <c r="O40" s="76"/>
    </row>
    <row r="41" spans="1:15">
      <c r="A41" s="57" t="s">
        <v>75</v>
      </c>
      <c r="B41" s="68"/>
      <c r="C41" s="78"/>
      <c r="D41" s="69"/>
      <c r="E41" s="19"/>
      <c r="F41" s="70"/>
      <c r="G41" s="79"/>
      <c r="H41" s="72"/>
      <c r="I41" s="19"/>
      <c r="J41" s="73"/>
      <c r="K41" s="80"/>
      <c r="L41" s="74"/>
      <c r="M41" s="75"/>
      <c r="N41" s="76"/>
      <c r="O41" s="76"/>
    </row>
    <row r="42" spans="1:15">
      <c r="A42" s="57" t="s">
        <v>76</v>
      </c>
      <c r="B42" s="68"/>
      <c r="C42" s="78"/>
      <c r="D42" s="69"/>
      <c r="E42" s="19"/>
      <c r="F42" s="70"/>
      <c r="G42" s="79"/>
      <c r="H42" s="72"/>
      <c r="I42" s="19"/>
      <c r="J42" s="73"/>
      <c r="K42" s="80"/>
      <c r="L42" s="74"/>
      <c r="M42" s="75"/>
      <c r="N42" s="76"/>
      <c r="O42" s="76"/>
    </row>
    <row r="43" spans="1:15">
      <c r="A43" s="57" t="s">
        <v>77</v>
      </c>
      <c r="B43" s="68"/>
      <c r="C43" s="78"/>
      <c r="D43" s="69"/>
      <c r="E43" s="19"/>
      <c r="F43" s="70"/>
      <c r="G43" s="79"/>
      <c r="H43" s="72"/>
      <c r="I43" s="19"/>
      <c r="J43" s="73"/>
      <c r="K43" s="80"/>
      <c r="L43" s="74"/>
      <c r="M43" s="75"/>
      <c r="N43" s="76"/>
      <c r="O43" s="76"/>
    </row>
    <row r="44" spans="1:15">
      <c r="A44" s="27"/>
      <c r="B44" s="81">
        <f t="shared" ref="B44:G44" si="9">SUM(B8:B43)</f>
        <v>4895196.1100000003</v>
      </c>
      <c r="C44" s="81">
        <f t="shared" si="9"/>
        <v>5746824.0200000014</v>
      </c>
      <c r="D44" s="81">
        <f t="shared" si="9"/>
        <v>1856694.06</v>
      </c>
      <c r="E44" s="81">
        <f t="shared" si="9"/>
        <v>2425371.9300000006</v>
      </c>
      <c r="F44" s="81">
        <f t="shared" si="9"/>
        <v>89967.569999999992</v>
      </c>
      <c r="G44" s="81">
        <f t="shared" si="9"/>
        <v>204471.83999999994</v>
      </c>
      <c r="H44" s="82"/>
      <c r="I44" s="82"/>
      <c r="J44" s="82"/>
      <c r="K44" s="81"/>
      <c r="L44" s="83"/>
      <c r="M44" s="84"/>
      <c r="N44" s="84"/>
      <c r="O44" s="84"/>
    </row>
    <row r="45" spans="1:15">
      <c r="B45" s="85"/>
      <c r="C45" s="86"/>
      <c r="D45" s="87"/>
      <c r="E45" s="88"/>
      <c r="F45" s="89"/>
      <c r="G45" s="89"/>
      <c r="H45" s="89"/>
      <c r="I45" s="89"/>
      <c r="J45" s="89"/>
      <c r="K45" s="87"/>
      <c r="L45" s="90"/>
      <c r="M45" s="91"/>
      <c r="N45" s="91"/>
      <c r="O45" s="91"/>
    </row>
    <row r="46" spans="1:15">
      <c r="A46" s="81" t="s">
        <v>78</v>
      </c>
      <c r="B46" s="81">
        <f>B44*100/C44</f>
        <v>85.180894576966693</v>
      </c>
      <c r="C46" s="17"/>
      <c r="D46" s="81">
        <f>D44*100/E44</f>
        <v>76.55296233266786</v>
      </c>
      <c r="F46" s="81">
        <f>F44*100/G44</f>
        <v>43.999980633029971</v>
      </c>
      <c r="G46" s="15"/>
      <c r="H46" s="15"/>
      <c r="I46" s="15"/>
      <c r="J46" s="15"/>
      <c r="K46" s="31"/>
      <c r="L46" s="31"/>
      <c r="N46" s="17"/>
      <c r="O46" s="17"/>
    </row>
    <row r="47" spans="1:15">
      <c r="J47" s="15"/>
      <c r="K47" s="3" t="s">
        <v>16</v>
      </c>
      <c r="L47" s="31"/>
      <c r="N47" s="17"/>
      <c r="O47" s="17"/>
    </row>
    <row r="48" spans="1:15">
      <c r="J48" s="15"/>
      <c r="K48" s="92" t="s">
        <v>19</v>
      </c>
      <c r="L48" s="93"/>
      <c r="M48" s="34">
        <f>+E44/17</f>
        <v>142668.93705882356</v>
      </c>
      <c r="N48" s="17"/>
      <c r="O48" s="17"/>
    </row>
    <row r="49" spans="1:15">
      <c r="C49" s="17"/>
      <c r="D49" s="31"/>
      <c r="F49" s="15"/>
      <c r="G49" s="15"/>
      <c r="H49" s="15"/>
      <c r="I49" s="15"/>
      <c r="J49" s="15"/>
      <c r="K49" s="92" t="s">
        <v>79</v>
      </c>
      <c r="L49" s="93"/>
      <c r="M49" s="34">
        <f>+C44/25</f>
        <v>229872.96080000006</v>
      </c>
      <c r="N49" s="17"/>
      <c r="O49" s="17"/>
    </row>
    <row r="50" spans="1:15">
      <c r="K50" s="93" t="s">
        <v>80</v>
      </c>
      <c r="L50" s="93"/>
      <c r="M50" s="34">
        <f>+G44/25</f>
        <v>8178.8735999999972</v>
      </c>
    </row>
    <row r="51" spans="1:15">
      <c r="K51" s="3" t="s">
        <v>21</v>
      </c>
      <c r="L51" s="1"/>
      <c r="M51" s="37">
        <f>SUM(M48:M50)</f>
        <v>380720.77145882364</v>
      </c>
      <c r="N51" t="s">
        <v>81</v>
      </c>
    </row>
    <row r="52" spans="1:15">
      <c r="B52" s="94" t="s">
        <v>82</v>
      </c>
      <c r="C52" s="95">
        <v>1471729.24</v>
      </c>
      <c r="K52" s="3"/>
      <c r="L52" s="1"/>
      <c r="M52" s="37"/>
    </row>
    <row r="53" spans="1:15">
      <c r="A53" s="1" t="s">
        <v>83</v>
      </c>
      <c r="B53" s="1">
        <v>2014</v>
      </c>
      <c r="C53" s="37">
        <f>SUM(C8:C19,E8:E19,G8:G19)</f>
        <v>4617386.4499999993</v>
      </c>
      <c r="K53" s="3"/>
      <c r="L53" s="1"/>
      <c r="M53" s="37"/>
    </row>
    <row r="54" spans="1:15">
      <c r="A54" s="1"/>
      <c r="B54" s="1">
        <v>2015</v>
      </c>
      <c r="C54" s="37">
        <f>SUM(C20:C31,E20:E31,G20:G31)</f>
        <v>3533821.2800000017</v>
      </c>
      <c r="K54" s="3"/>
      <c r="L54" s="1"/>
      <c r="M54" s="37"/>
    </row>
    <row r="55" spans="1:15">
      <c r="A55" s="1"/>
      <c r="B55" s="1">
        <v>2016</v>
      </c>
      <c r="C55" s="37">
        <f>'[2]elsan registro'!C141</f>
        <v>225460.06</v>
      </c>
      <c r="K55" s="3"/>
      <c r="L55" s="1"/>
      <c r="M55" s="37"/>
    </row>
    <row r="56" spans="1:15">
      <c r="C56" s="96">
        <f>SUM(C52:C55)</f>
        <v>9848397.0300000012</v>
      </c>
    </row>
    <row r="57" spans="1:15">
      <c r="C57" s="96"/>
    </row>
    <row r="58" spans="1:15">
      <c r="A58" s="1" t="s">
        <v>84</v>
      </c>
      <c r="B58" s="1">
        <v>2014</v>
      </c>
      <c r="C58" s="37">
        <f>SUM(B8:B19,D8:D19,F8:F19)</f>
        <v>2529102.8100000005</v>
      </c>
    </row>
    <row r="59" spans="1:15">
      <c r="B59" s="1">
        <v>2015</v>
      </c>
      <c r="C59" s="37">
        <f>SUM(B20:B31,D20:D31,F20:F31)</f>
        <v>3914087.58</v>
      </c>
    </row>
    <row r="60" spans="1:15">
      <c r="B60" s="1">
        <v>2016</v>
      </c>
      <c r="C60" s="37">
        <f>SUM(B33:B43,D33:D43,F33:F43)</f>
        <v>398667.35</v>
      </c>
    </row>
    <row r="61" spans="1:15">
      <c r="C61" s="96">
        <f>SUM(C58:C60)</f>
        <v>6841857.7400000002</v>
      </c>
      <c r="E61" s="37">
        <f>C56-C61</f>
        <v>3006539.290000001</v>
      </c>
      <c r="F61" s="15"/>
    </row>
  </sheetData>
  <pageMargins left="0.70866141732283472" right="0.70866141732283472" top="0.74803149606299213" bottom="0.74803149606299213" header="0.51181102362204722" footer="0.51181102362204722"/>
  <pageSetup paperSize="9" scale="58" firstPageNumber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5"/>
  <sheetViews>
    <sheetView zoomScaleNormal="100" workbookViewId="0">
      <selection activeCell="A5" sqref="A5:M5"/>
    </sheetView>
  </sheetViews>
  <sheetFormatPr baseColWidth="10" defaultColWidth="9.140625" defaultRowHeight="15"/>
  <cols>
    <col min="1" max="1" width="19.5703125" customWidth="1"/>
    <col min="2" max="2" width="12" customWidth="1"/>
    <col min="3" max="3" width="13.7109375" customWidth="1"/>
    <col min="5" max="5" width="13" customWidth="1"/>
    <col min="6" max="6" width="13.28515625" customWidth="1"/>
    <col min="7" max="7" width="13.140625" customWidth="1"/>
    <col min="8" max="8" width="13.28515625" customWidth="1"/>
    <col min="9" max="9" width="14.28515625" customWidth="1"/>
    <col min="10" max="10" width="14.5703125" customWidth="1"/>
    <col min="11" max="11" width="12.42578125" customWidth="1"/>
    <col min="12" max="12" width="13.28515625" customWidth="1"/>
  </cols>
  <sheetData>
    <row r="1" spans="1:15" s="1" customFormat="1">
      <c r="C1" s="2"/>
      <c r="F1" s="3"/>
      <c r="K1" s="3"/>
      <c r="L1" s="3"/>
      <c r="N1" s="2"/>
      <c r="O1" s="2"/>
    </row>
    <row r="3" spans="1:15" ht="18.75">
      <c r="A3" s="4" t="s">
        <v>0</v>
      </c>
    </row>
    <row r="5" spans="1:15" s="7" customFormat="1" ht="69" customHeight="1">
      <c r="A5" s="97" t="s">
        <v>1</v>
      </c>
      <c r="B5" s="98" t="s">
        <v>2</v>
      </c>
      <c r="C5" s="99" t="s">
        <v>3</v>
      </c>
      <c r="D5" s="98" t="s">
        <v>4</v>
      </c>
      <c r="E5" s="99" t="s">
        <v>5</v>
      </c>
      <c r="F5" s="98" t="s">
        <v>6</v>
      </c>
      <c r="G5" s="99" t="s">
        <v>7</v>
      </c>
      <c r="H5" s="98" t="s">
        <v>8</v>
      </c>
      <c r="I5" s="98" t="s">
        <v>9</v>
      </c>
      <c r="J5" s="98" t="s">
        <v>10</v>
      </c>
      <c r="K5" s="99" t="s">
        <v>11</v>
      </c>
      <c r="L5" s="99" t="s">
        <v>12</v>
      </c>
      <c r="M5" s="99" t="s">
        <v>13</v>
      </c>
      <c r="N5" s="6" t="s">
        <v>14</v>
      </c>
      <c r="O5" s="6" t="s">
        <v>15</v>
      </c>
    </row>
    <row r="6" spans="1:15">
      <c r="B6" s="8"/>
      <c r="C6" s="9"/>
      <c r="D6" s="10"/>
      <c r="E6" s="10"/>
      <c r="F6" s="11"/>
      <c r="G6" s="12"/>
      <c r="H6" s="13">
        <v>1450673.6</v>
      </c>
      <c r="I6" s="10">
        <v>0</v>
      </c>
      <c r="J6" s="12">
        <v>1329827.44</v>
      </c>
      <c r="K6" s="14">
        <f t="shared" ref="K6:K34" si="0">SUM(H6:J6)</f>
        <v>2780501.04</v>
      </c>
      <c r="L6" s="15">
        <f t="shared" ref="L6:L34" si="1">+K6-$K$50</f>
        <v>2780501.04</v>
      </c>
      <c r="M6" s="16">
        <f t="shared" ref="M6:M34" si="2">+L6/($C$11+$G$11)</f>
        <v>3.2548793643593479</v>
      </c>
      <c r="N6" s="17">
        <f t="shared" ref="N6:N34" si="3">+M6*30</f>
        <v>97.646380930780438</v>
      </c>
      <c r="O6" s="17">
        <f t="shared" ref="O6:O34" si="4">+N6+60</f>
        <v>157.64638093078042</v>
      </c>
    </row>
    <row r="7" spans="1:15">
      <c r="A7" s="18">
        <v>41640</v>
      </c>
      <c r="B7" s="13">
        <v>0</v>
      </c>
      <c r="C7" s="13">
        <f>'[1]Ingesan Reg.'!F3+'[1]Ingesan Reg.'!F4</f>
        <v>372189.53</v>
      </c>
      <c r="D7" s="10">
        <v>0</v>
      </c>
      <c r="E7" s="10">
        <v>0</v>
      </c>
      <c r="F7" s="12">
        <f>[1]R!H33+[1]R!H34</f>
        <v>273544</v>
      </c>
      <c r="G7" s="12">
        <v>505391.48</v>
      </c>
      <c r="H7" s="19">
        <f t="shared" ref="H7:H34" si="5">+H6+C7-B7</f>
        <v>1822863.1300000001</v>
      </c>
      <c r="I7" s="10">
        <f t="shared" ref="I7:I34" si="6">+I6+E7-D7</f>
        <v>0</v>
      </c>
      <c r="J7" s="12">
        <f t="shared" ref="J7:J34" si="7">+J6+G7-F7</f>
        <v>1561674.92</v>
      </c>
      <c r="K7" s="14">
        <f t="shared" si="0"/>
        <v>3384538.05</v>
      </c>
      <c r="L7" s="15">
        <f t="shared" si="1"/>
        <v>3384538.05</v>
      </c>
      <c r="M7" s="16">
        <f t="shared" si="2"/>
        <v>3.9619704860221976</v>
      </c>
      <c r="N7" s="17">
        <f t="shared" si="3"/>
        <v>118.85911458066593</v>
      </c>
      <c r="O7" s="17">
        <f t="shared" si="4"/>
        <v>178.85911458066593</v>
      </c>
    </row>
    <row r="8" spans="1:15">
      <c r="A8" s="18">
        <v>41671</v>
      </c>
      <c r="B8" s="13">
        <v>0</v>
      </c>
      <c r="C8" s="13">
        <f>'[1]Ingesan Reg.'!F6+'[1]Ingesan Reg.'!F7</f>
        <v>372189.53</v>
      </c>
      <c r="D8" s="10">
        <v>0</v>
      </c>
      <c r="E8" s="10">
        <v>0</v>
      </c>
      <c r="F8" s="12">
        <f>[1]R!H35+[1]R!H36</f>
        <v>107841.68</v>
      </c>
      <c r="G8" s="12">
        <v>480311.16</v>
      </c>
      <c r="H8" s="19">
        <f t="shared" si="5"/>
        <v>2195052.66</v>
      </c>
      <c r="I8" s="10">
        <f t="shared" si="6"/>
        <v>0</v>
      </c>
      <c r="J8" s="12">
        <f t="shared" si="7"/>
        <v>1934144.4</v>
      </c>
      <c r="K8" s="14">
        <f t="shared" si="0"/>
        <v>4129197.06</v>
      </c>
      <c r="L8" s="15">
        <f t="shared" si="1"/>
        <v>4129197.06</v>
      </c>
      <c r="M8" s="16">
        <f t="shared" si="2"/>
        <v>4.8336749775023593</v>
      </c>
      <c r="N8" s="17">
        <f t="shared" si="3"/>
        <v>145.01024932507079</v>
      </c>
      <c r="O8" s="17">
        <f t="shared" si="4"/>
        <v>205.01024932507079</v>
      </c>
    </row>
    <row r="9" spans="1:15">
      <c r="A9" s="18">
        <v>41699</v>
      </c>
      <c r="B9" s="13">
        <v>75000</v>
      </c>
      <c r="C9" s="13">
        <f>'[1]Ingesan Reg.'!F9+'[1]Ingesan Reg.'!F10</f>
        <v>372189.53</v>
      </c>
      <c r="D9" s="10">
        <v>0</v>
      </c>
      <c r="E9" s="10">
        <v>0</v>
      </c>
      <c r="F9" s="12">
        <f>[1]R!H37+[1]R!H38+[1]R!H39</f>
        <v>547087.44999999995</v>
      </c>
      <c r="G9" s="12">
        <v>511485.03</v>
      </c>
      <c r="H9" s="19">
        <f t="shared" si="5"/>
        <v>2492242.1900000004</v>
      </c>
      <c r="I9" s="10">
        <f t="shared" si="6"/>
        <v>0</v>
      </c>
      <c r="J9" s="12">
        <f t="shared" si="7"/>
        <v>1898541.9799999997</v>
      </c>
      <c r="K9" s="14">
        <f t="shared" si="0"/>
        <v>4390784.17</v>
      </c>
      <c r="L9" s="15">
        <f t="shared" si="1"/>
        <v>4390784.17</v>
      </c>
      <c r="M9" s="16">
        <f t="shared" si="2"/>
        <v>5.1398911860463414</v>
      </c>
      <c r="N9" s="17">
        <f t="shared" si="3"/>
        <v>154.19673558139024</v>
      </c>
      <c r="O9" s="17">
        <f t="shared" si="4"/>
        <v>214.19673558139024</v>
      </c>
    </row>
    <row r="10" spans="1:15">
      <c r="A10" s="18">
        <v>41730</v>
      </c>
      <c r="B10" s="13">
        <v>75000</v>
      </c>
      <c r="C10" s="13">
        <f>'[1]Ingesan Reg.'!F12+'[1]Ingesan Reg.'!F13+'[1]Ingesan Reg.'!F14</f>
        <v>375344.91000000003</v>
      </c>
      <c r="D10" s="10">
        <v>0</v>
      </c>
      <c r="E10" s="10">
        <v>0</v>
      </c>
      <c r="F10" s="12">
        <v>0</v>
      </c>
      <c r="G10" s="12">
        <v>467473.77</v>
      </c>
      <c r="H10" s="19">
        <f t="shared" si="5"/>
        <v>2792587.1000000006</v>
      </c>
      <c r="I10" s="10">
        <f t="shared" si="6"/>
        <v>0</v>
      </c>
      <c r="J10" s="12">
        <f t="shared" si="7"/>
        <v>2366015.75</v>
      </c>
      <c r="K10" s="14">
        <f t="shared" si="0"/>
        <v>5158602.8500000006</v>
      </c>
      <c r="L10" s="15">
        <f t="shared" si="1"/>
        <v>5158602.8500000006</v>
      </c>
      <c r="M10" s="16">
        <f t="shared" si="2"/>
        <v>6.0387065941864639</v>
      </c>
      <c r="N10" s="17">
        <f t="shared" si="3"/>
        <v>181.16119782559392</v>
      </c>
      <c r="O10" s="17">
        <f t="shared" si="4"/>
        <v>241.16119782559392</v>
      </c>
    </row>
    <row r="11" spans="1:15">
      <c r="A11" s="18">
        <v>41760</v>
      </c>
      <c r="B11" s="13">
        <v>300000</v>
      </c>
      <c r="C11" s="13">
        <f>'[1]Ingesan Reg.'!F16+'[1]Ingesan Reg.'!F17+'[1]Ingesan Reg.'!F18+'[1]Ingesan Reg.'!F19+'[1]Ingesan Reg.'!F20+'[1]Ingesan Reg.'!F21</f>
        <v>376411.45000000007</v>
      </c>
      <c r="D11" s="10">
        <v>0</v>
      </c>
      <c r="E11" s="10">
        <v>0</v>
      </c>
      <c r="F11" s="12">
        <f>[1]R!H40+[1]R!H41</f>
        <v>361597.04000000004</v>
      </c>
      <c r="G11" s="12">
        <v>477844.8</v>
      </c>
      <c r="H11" s="19">
        <f t="shared" si="5"/>
        <v>2868998.5500000007</v>
      </c>
      <c r="I11" s="10">
        <f t="shared" si="6"/>
        <v>0</v>
      </c>
      <c r="J11" s="12">
        <f t="shared" si="7"/>
        <v>2482263.5099999998</v>
      </c>
      <c r="K11" s="14">
        <f t="shared" si="0"/>
        <v>5351262.0600000005</v>
      </c>
      <c r="L11" s="15">
        <f t="shared" si="1"/>
        <v>5351262.0600000005</v>
      </c>
      <c r="M11" s="16">
        <f t="shared" si="2"/>
        <v>6.2642351870413595</v>
      </c>
      <c r="N11" s="17">
        <f t="shared" si="3"/>
        <v>187.92705561124077</v>
      </c>
      <c r="O11" s="17">
        <f t="shared" si="4"/>
        <v>247.92705561124077</v>
      </c>
    </row>
    <row r="12" spans="1:15">
      <c r="A12" s="18">
        <v>41791</v>
      </c>
      <c r="B12" s="13">
        <v>1372863.13</v>
      </c>
      <c r="C12" s="13">
        <f>'[1]Ingesan Reg.'!F23+'[1]Ingesan Reg.'!F24</f>
        <v>372189.53</v>
      </c>
      <c r="D12" s="10">
        <v>0</v>
      </c>
      <c r="E12" s="10">
        <v>0</v>
      </c>
      <c r="F12" s="12">
        <f>[1]R!H42+[1]R!H43</f>
        <v>230366.44</v>
      </c>
      <c r="G12" s="12">
        <v>486824.34</v>
      </c>
      <c r="H12" s="19">
        <f t="shared" si="5"/>
        <v>1868324.9500000011</v>
      </c>
      <c r="I12" s="10">
        <f t="shared" si="6"/>
        <v>0</v>
      </c>
      <c r="J12" s="12">
        <f t="shared" si="7"/>
        <v>2738721.4099999997</v>
      </c>
      <c r="K12" s="14">
        <f t="shared" si="0"/>
        <v>4607046.3600000013</v>
      </c>
      <c r="L12" s="15">
        <f t="shared" si="1"/>
        <v>4607046.3600000013</v>
      </c>
      <c r="M12" s="16">
        <f t="shared" si="2"/>
        <v>5.3930496382086774</v>
      </c>
      <c r="N12" s="17">
        <f t="shared" si="3"/>
        <v>161.79148914626032</v>
      </c>
      <c r="O12" s="17">
        <f t="shared" si="4"/>
        <v>221.79148914626032</v>
      </c>
    </row>
    <row r="13" spans="1:15">
      <c r="A13" s="18">
        <v>41821</v>
      </c>
      <c r="B13" s="13">
        <v>402953.98</v>
      </c>
      <c r="C13" s="13">
        <f>'[1]Ingesan Reg.'!F26+'[1]Ingesan Reg.'!F27</f>
        <v>372189.53</v>
      </c>
      <c r="D13" s="10">
        <v>0</v>
      </c>
      <c r="E13" s="10">
        <v>0</v>
      </c>
      <c r="F13" s="12">
        <v>0</v>
      </c>
      <c r="G13" s="12">
        <v>525353.68999999994</v>
      </c>
      <c r="H13" s="19">
        <f t="shared" si="5"/>
        <v>1837560.5000000014</v>
      </c>
      <c r="I13" s="10">
        <f t="shared" si="6"/>
        <v>0</v>
      </c>
      <c r="J13" s="12">
        <f t="shared" si="7"/>
        <v>3264075.0999999996</v>
      </c>
      <c r="K13" s="14">
        <f t="shared" si="0"/>
        <v>5101635.6000000015</v>
      </c>
      <c r="L13" s="15">
        <f t="shared" si="1"/>
        <v>5101635.6000000015</v>
      </c>
      <c r="M13" s="16">
        <f t="shared" si="2"/>
        <v>5.9720202222693732</v>
      </c>
      <c r="N13" s="17">
        <f t="shared" si="3"/>
        <v>179.16060666808119</v>
      </c>
      <c r="O13" s="17">
        <f t="shared" si="4"/>
        <v>239.16060666808119</v>
      </c>
    </row>
    <row r="14" spans="1:15">
      <c r="A14" s="18">
        <v>41852</v>
      </c>
      <c r="B14" s="13">
        <v>0</v>
      </c>
      <c r="C14" s="13">
        <f>'[1]Ingesan Reg.'!F29+'[1]Ingesan Reg.'!F30</f>
        <v>372189.53</v>
      </c>
      <c r="D14" s="10">
        <v>0</v>
      </c>
      <c r="E14" s="10">
        <v>0</v>
      </c>
      <c r="F14" s="12">
        <f>[1]R!H44+[1]R!H45+[1]R!H46</f>
        <v>361597.04</v>
      </c>
      <c r="G14" s="12">
        <f>'[1]UTE Reg.'!F10</f>
        <v>487935.31</v>
      </c>
      <c r="H14" s="19">
        <f t="shared" si="5"/>
        <v>2209750.0300000012</v>
      </c>
      <c r="I14" s="10">
        <f t="shared" si="6"/>
        <v>0</v>
      </c>
      <c r="J14" s="12">
        <f t="shared" si="7"/>
        <v>3390413.3699999996</v>
      </c>
      <c r="K14" s="14">
        <f t="shared" si="0"/>
        <v>5600163.4000000004</v>
      </c>
      <c r="L14" s="15">
        <f t="shared" si="1"/>
        <v>5600163.4000000004</v>
      </c>
      <c r="M14" s="16">
        <f t="shared" si="2"/>
        <v>6.5556013198615757</v>
      </c>
      <c r="N14" s="17">
        <f t="shared" si="3"/>
        <v>196.66803959584726</v>
      </c>
      <c r="O14" s="17">
        <f t="shared" si="4"/>
        <v>256.66803959584729</v>
      </c>
    </row>
    <row r="15" spans="1:15">
      <c r="A15" s="18">
        <v>41883</v>
      </c>
      <c r="B15" s="13">
        <v>100000</v>
      </c>
      <c r="C15" s="13">
        <f>'[1]Ingesan Reg.'!F32+'[1]Ingesan Reg.'!F33+'[1]Ingesan Reg.'!F34</f>
        <v>377811.25</v>
      </c>
      <c r="D15" s="10">
        <v>0</v>
      </c>
      <c r="E15" s="10">
        <v>0</v>
      </c>
      <c r="F15" s="12">
        <f>[1]R!H47+[1]R!H48</f>
        <v>361597.04000000004</v>
      </c>
      <c r="G15" s="20">
        <f>'[1]UTE Reg.'!F11</f>
        <v>482670.69</v>
      </c>
      <c r="H15" s="19">
        <f t="shared" si="5"/>
        <v>2487561.2800000012</v>
      </c>
      <c r="I15" s="10">
        <f t="shared" si="6"/>
        <v>0</v>
      </c>
      <c r="J15" s="12">
        <f t="shared" si="7"/>
        <v>3511487.0199999996</v>
      </c>
      <c r="K15" s="14">
        <f t="shared" si="0"/>
        <v>5999048.3000000007</v>
      </c>
      <c r="L15" s="15">
        <f t="shared" si="1"/>
        <v>5999048.3000000007</v>
      </c>
      <c r="M15" s="16">
        <f t="shared" si="2"/>
        <v>7.0225395482912774</v>
      </c>
      <c r="N15" s="17">
        <f t="shared" si="3"/>
        <v>210.67618644873832</v>
      </c>
      <c r="O15" s="17">
        <f t="shared" si="4"/>
        <v>270.67618644873835</v>
      </c>
    </row>
    <row r="16" spans="1:15">
      <c r="A16" s="18">
        <v>41913</v>
      </c>
      <c r="B16" s="13">
        <v>200000</v>
      </c>
      <c r="C16" s="13">
        <f>'[1]Ingesan Reg.'!F36+'[1]Ingesan Reg.'!F37+'[1]Ingesan Reg.'!F38+'[1]Ingesan Reg.'!F39+'[1]Ingesan Reg.'!F40</f>
        <v>372528.49000000005</v>
      </c>
      <c r="D16" s="10">
        <v>0</v>
      </c>
      <c r="E16" s="10">
        <v>0</v>
      </c>
      <c r="F16" s="12">
        <v>0</v>
      </c>
      <c r="G16" s="20">
        <f>'[1]UTE Reg.'!F12</f>
        <v>506084.82</v>
      </c>
      <c r="H16" s="19">
        <f t="shared" si="5"/>
        <v>2660089.7700000014</v>
      </c>
      <c r="I16" s="10">
        <f t="shared" si="6"/>
        <v>0</v>
      </c>
      <c r="J16" s="12">
        <f t="shared" si="7"/>
        <v>4017571.8399999994</v>
      </c>
      <c r="K16" s="14">
        <f t="shared" si="0"/>
        <v>6677661.6100000013</v>
      </c>
      <c r="L16" s="15">
        <f t="shared" si="1"/>
        <v>6677661.6100000013</v>
      </c>
      <c r="M16" s="16">
        <f t="shared" si="2"/>
        <v>7.8169303531580852</v>
      </c>
      <c r="N16" s="17">
        <f t="shared" si="3"/>
        <v>234.50791059474255</v>
      </c>
      <c r="O16" s="17">
        <f t="shared" si="4"/>
        <v>294.50791059474255</v>
      </c>
    </row>
    <row r="17" spans="1:15">
      <c r="A17" s="18">
        <v>41944</v>
      </c>
      <c r="B17" s="21">
        <v>0</v>
      </c>
      <c r="C17" s="21">
        <f>'[1]Ingesan Reg.'!F42+'[1]Ingesan Reg.'!F43+'[1]Ingesan Reg.'!F44+'[1]Ingesan Reg.'!F45</f>
        <v>378412.54000000004</v>
      </c>
      <c r="D17" s="10">
        <v>0</v>
      </c>
      <c r="E17" s="10">
        <v>0</v>
      </c>
      <c r="F17" s="22">
        <f>[1]R!H49+[1]R!H50+[1]R!H51</f>
        <v>361597.04000000004</v>
      </c>
      <c r="G17" s="23">
        <f>'[1]UTE Reg.'!F13</f>
        <v>504253.7</v>
      </c>
      <c r="H17" s="19">
        <f t="shared" si="5"/>
        <v>3038502.3100000015</v>
      </c>
      <c r="I17" s="10">
        <f t="shared" si="6"/>
        <v>0</v>
      </c>
      <c r="J17" s="12">
        <f t="shared" si="7"/>
        <v>4160228.4999999991</v>
      </c>
      <c r="K17" s="14">
        <f t="shared" si="0"/>
        <v>7198730.8100000005</v>
      </c>
      <c r="L17" s="15">
        <f t="shared" si="1"/>
        <v>7198730.8100000005</v>
      </c>
      <c r="M17" s="24">
        <f t="shared" si="2"/>
        <v>8.426898615023303</v>
      </c>
      <c r="N17" s="25">
        <f t="shared" si="3"/>
        <v>252.80695845069909</v>
      </c>
      <c r="O17" s="25">
        <f t="shared" si="4"/>
        <v>312.80695845069909</v>
      </c>
    </row>
    <row r="18" spans="1:15" s="26" customFormat="1">
      <c r="A18" s="18">
        <v>41974</v>
      </c>
      <c r="B18" s="21">
        <v>0</v>
      </c>
      <c r="C18" s="21">
        <f>'[1]Ingesan Reg.'!F47+'[1]Ingesan Reg.'!F48+'[1]Ingesan Reg.'!F49+'[1]Ingesan Reg.'!F50+'[1]Ingesan Reg.'!F51+'[1]Ingesan Reg.'!F52+'[1]Ingesan Reg.'!F53</f>
        <v>378810.61</v>
      </c>
      <c r="D18" s="10">
        <v>0</v>
      </c>
      <c r="E18" s="10">
        <v>0</v>
      </c>
      <c r="F18" s="22">
        <f>[1]R!H52+[1]R!H53+[1]R!H54+[1]R!H55+[1]R!H56+[1]R!H57</f>
        <v>563620.54</v>
      </c>
      <c r="G18" s="23">
        <f>'[1]UTE Reg.'!F14</f>
        <v>532381.29</v>
      </c>
      <c r="H18" s="19">
        <f t="shared" si="5"/>
        <v>3417312.9200000013</v>
      </c>
      <c r="I18" s="10">
        <f t="shared" si="6"/>
        <v>0</v>
      </c>
      <c r="J18" s="12">
        <f t="shared" si="7"/>
        <v>4128989.2499999991</v>
      </c>
      <c r="K18" s="14">
        <f t="shared" si="0"/>
        <v>7546302.1699999999</v>
      </c>
      <c r="L18" s="15">
        <f t="shared" si="1"/>
        <v>7546302.1699999999</v>
      </c>
      <c r="M18" s="24">
        <f t="shared" si="2"/>
        <v>8.8337687549842325</v>
      </c>
      <c r="N18" s="25">
        <f t="shared" si="3"/>
        <v>265.013062649527</v>
      </c>
      <c r="O18" s="25">
        <f t="shared" si="4"/>
        <v>325.013062649527</v>
      </c>
    </row>
    <row r="19" spans="1:15">
      <c r="A19" s="18">
        <v>42005</v>
      </c>
      <c r="B19" s="13">
        <v>0</v>
      </c>
      <c r="C19" s="13">
        <f>'[1]Ingesan Reg.'!F60+'[1]Ingesan Reg.'!F61+'[1]Ingesan Reg.'!F62+'[1]Ingesan Reg.'!F63+'[1]Ingesan Reg.'!F64+'[1]Ingesan Reg.'!F65</f>
        <v>375346.37</v>
      </c>
      <c r="D19" s="10">
        <v>0</v>
      </c>
      <c r="E19" s="10">
        <v>0</v>
      </c>
      <c r="F19" s="12">
        <f>[1]R!H102+[1]R!H103+[1]R!H104+[1]R!H105+[1]R!H106+[1]R!H107+[1]R!H108+[1]R!H109</f>
        <v>1511861.1299999997</v>
      </c>
      <c r="G19" s="12">
        <f>'[1]UTE Reg.'!F21</f>
        <v>513568.91</v>
      </c>
      <c r="H19" s="19">
        <f t="shared" si="5"/>
        <v>3792659.2900000014</v>
      </c>
      <c r="I19" s="10">
        <f t="shared" si="6"/>
        <v>0</v>
      </c>
      <c r="J19" s="12">
        <f t="shared" si="7"/>
        <v>3130697.0299999993</v>
      </c>
      <c r="K19" s="14">
        <f t="shared" si="0"/>
        <v>6923356.3200000003</v>
      </c>
      <c r="L19" s="15">
        <f t="shared" si="1"/>
        <v>6923356.3200000003</v>
      </c>
      <c r="M19" s="24">
        <f t="shared" si="2"/>
        <v>8.1045427762454185</v>
      </c>
      <c r="N19" s="25">
        <f t="shared" si="3"/>
        <v>243.13628328736255</v>
      </c>
      <c r="O19" s="25">
        <f t="shared" si="4"/>
        <v>303.13628328736252</v>
      </c>
    </row>
    <row r="20" spans="1:15">
      <c r="A20" s="18">
        <v>42036</v>
      </c>
      <c r="B20" s="13">
        <f>[1]R!H62+[1]R!H63</f>
        <v>150000</v>
      </c>
      <c r="C20" s="13">
        <f>'[1]Ingesan Reg.'!F66+'[1]Ingesan Reg.'!F67+'[1]Ingesan Reg.'!F68+'[1]Ingesan Reg.'!F69+'[1]Ingesan Reg.'!F70+'[1]Ingesan Reg.'!F71</f>
        <v>747589.05999999994</v>
      </c>
      <c r="D20" s="10">
        <v>0</v>
      </c>
      <c r="E20" s="10">
        <v>0</v>
      </c>
      <c r="F20" s="12">
        <f>[1]R!H110+[1]R!H111+[1]R!H112+[1]R!H113</f>
        <v>380620.55</v>
      </c>
      <c r="G20" s="12">
        <f>'[1]UTE Reg.'!F22</f>
        <v>512205.82</v>
      </c>
      <c r="H20" s="19">
        <f t="shared" si="5"/>
        <v>4390248.3500000015</v>
      </c>
      <c r="I20" s="10">
        <f t="shared" si="6"/>
        <v>0</v>
      </c>
      <c r="J20" s="12">
        <f t="shared" si="7"/>
        <v>3262282.2999999993</v>
      </c>
      <c r="K20" s="14">
        <f t="shared" si="0"/>
        <v>7652530.6500000004</v>
      </c>
      <c r="L20" s="15">
        <f t="shared" si="1"/>
        <v>7652530.6500000004</v>
      </c>
      <c r="M20" s="24">
        <f t="shared" si="2"/>
        <v>8.9581207629443753</v>
      </c>
      <c r="N20" s="25">
        <f t="shared" si="3"/>
        <v>268.74362288833129</v>
      </c>
      <c r="O20" s="25">
        <f t="shared" si="4"/>
        <v>328.74362288833129</v>
      </c>
    </row>
    <row r="21" spans="1:15">
      <c r="A21" s="18">
        <v>42064</v>
      </c>
      <c r="B21" s="13">
        <v>0</v>
      </c>
      <c r="C21" s="13">
        <f>'[1]Ingesan Reg.'!F72+'[1]Ingesan Reg.'!F73+'[1]Ingesan Reg.'!F74+'[1]Ingesan Reg.'!F75+'[1]Ingesan Reg.'!F76</f>
        <v>379426.9</v>
      </c>
      <c r="D21" s="10">
        <v>0</v>
      </c>
      <c r="E21" s="10">
        <v>0</v>
      </c>
      <c r="F21" s="12">
        <v>0</v>
      </c>
      <c r="G21" s="12">
        <f>'[1]UTE Reg.'!F23</f>
        <v>569022.64</v>
      </c>
      <c r="H21" s="19">
        <f t="shared" si="5"/>
        <v>4769675.2500000019</v>
      </c>
      <c r="I21" s="10">
        <f t="shared" si="6"/>
        <v>0</v>
      </c>
      <c r="J21" s="12">
        <f t="shared" si="7"/>
        <v>3831304.9399999995</v>
      </c>
      <c r="K21" s="14">
        <f t="shared" si="0"/>
        <v>8600980.1900000013</v>
      </c>
      <c r="L21" s="15">
        <f t="shared" si="1"/>
        <v>8600980.1900000013</v>
      </c>
      <c r="M21" s="24">
        <f t="shared" si="2"/>
        <v>10.068384269942422</v>
      </c>
      <c r="N21" s="25">
        <f t="shared" si="3"/>
        <v>302.05152809827268</v>
      </c>
      <c r="O21" s="25">
        <f t="shared" si="4"/>
        <v>362.05152809827268</v>
      </c>
    </row>
    <row r="22" spans="1:15">
      <c r="A22" s="18">
        <v>42095</v>
      </c>
      <c r="B22" s="13">
        <v>0</v>
      </c>
      <c r="C22" s="13">
        <f>'[1]Ingesan Reg.'!F77+'[1]Ingesan Reg.'!F78+'[1]Ingesan Reg.'!F79</f>
        <v>14008.11</v>
      </c>
      <c r="D22" s="10">
        <v>0</v>
      </c>
      <c r="E22" s="10">
        <v>0</v>
      </c>
      <c r="F22" s="12">
        <f>[1]R!H114+[1]R!H115+[1]R!H116+[1]R!H117+[1]R!H118+[1]R!H119+[1]R!H120</f>
        <v>761000</v>
      </c>
      <c r="G22" s="12">
        <f>'[1]UTE Reg.'!F24</f>
        <v>537001.75</v>
      </c>
      <c r="H22" s="19">
        <f t="shared" si="5"/>
        <v>4783683.3600000022</v>
      </c>
      <c r="I22" s="10">
        <f t="shared" si="6"/>
        <v>0</v>
      </c>
      <c r="J22" s="12">
        <f t="shared" si="7"/>
        <v>3607306.6899999995</v>
      </c>
      <c r="K22" s="14">
        <f t="shared" si="0"/>
        <v>8390990.0500000007</v>
      </c>
      <c r="L22" s="15">
        <f t="shared" si="1"/>
        <v>8390990.0500000007</v>
      </c>
      <c r="M22" s="24">
        <f t="shared" si="2"/>
        <v>9.8225679355579789</v>
      </c>
      <c r="N22" s="25">
        <f t="shared" si="3"/>
        <v>294.67703806673939</v>
      </c>
      <c r="O22" s="25">
        <f t="shared" si="4"/>
        <v>354.67703806673939</v>
      </c>
    </row>
    <row r="23" spans="1:15">
      <c r="A23" s="18">
        <v>42125</v>
      </c>
      <c r="B23" s="13">
        <v>0</v>
      </c>
      <c r="C23" s="13">
        <f>'[1]Ingesan Reg.'!F80+'[1]Ingesan Reg.'!F81+'[1]Ingesan Reg.'!F82+'[1]Ingesan Reg.'!F83+'[1]Ingesan Reg.'!F84</f>
        <v>378951.18000000005</v>
      </c>
      <c r="D23" s="10">
        <v>0</v>
      </c>
      <c r="E23" s="10">
        <f>'[1]Ingesan Reg.'!F132</f>
        <v>17353.14</v>
      </c>
      <c r="F23" s="12">
        <f>[1]R!H121</f>
        <v>351573.73</v>
      </c>
      <c r="G23" s="12">
        <f>'[1]UTE Reg.'!F25</f>
        <v>523667.84</v>
      </c>
      <c r="H23" s="19">
        <f t="shared" si="5"/>
        <v>5162634.5400000019</v>
      </c>
      <c r="I23" s="10">
        <f t="shared" si="6"/>
        <v>17353.14</v>
      </c>
      <c r="J23" s="12">
        <f t="shared" si="7"/>
        <v>3779400.7999999993</v>
      </c>
      <c r="K23" s="14">
        <f t="shared" si="0"/>
        <v>8959388.4800000004</v>
      </c>
      <c r="L23" s="15">
        <f t="shared" si="1"/>
        <v>8959388.4800000004</v>
      </c>
      <c r="M23" s="24">
        <f t="shared" si="2"/>
        <v>10.487940217001633</v>
      </c>
      <c r="N23" s="25">
        <f t="shared" si="3"/>
        <v>314.63820651004897</v>
      </c>
      <c r="O23" s="25">
        <f t="shared" si="4"/>
        <v>374.63820651004897</v>
      </c>
    </row>
    <row r="24" spans="1:15">
      <c r="A24" s="18">
        <v>42156</v>
      </c>
      <c r="B24" s="13">
        <v>0</v>
      </c>
      <c r="C24" s="13">
        <f>'[1]Ingesan Reg.'!F85+'[1]Ingesan Reg.'!F86+'[1]Ingesan Reg.'!F87+'[1]Ingesan Reg.'!F88+'[1]Ingesan Reg.'!F89</f>
        <v>379683.72</v>
      </c>
      <c r="D24" s="10">
        <v>0</v>
      </c>
      <c r="E24" s="10">
        <f>'[1]Ingesan Reg.'!F133</f>
        <v>128339.64</v>
      </c>
      <c r="F24" s="12">
        <v>0</v>
      </c>
      <c r="G24" s="12">
        <f>'[1]UTE Reg.'!F26</f>
        <v>555696.13</v>
      </c>
      <c r="H24" s="19">
        <f t="shared" si="5"/>
        <v>5542318.2600000016</v>
      </c>
      <c r="I24" s="10">
        <f t="shared" si="6"/>
        <v>145692.78</v>
      </c>
      <c r="J24" s="12">
        <f t="shared" si="7"/>
        <v>4335096.93</v>
      </c>
      <c r="K24" s="14">
        <f t="shared" si="0"/>
        <v>10023107.970000003</v>
      </c>
      <c r="L24" s="15">
        <f t="shared" si="1"/>
        <v>10023107.970000003</v>
      </c>
      <c r="M24" s="24">
        <f t="shared" si="2"/>
        <v>11.733139757537627</v>
      </c>
      <c r="N24" s="25">
        <f t="shared" si="3"/>
        <v>351.9941927261288</v>
      </c>
      <c r="O24" s="25">
        <f t="shared" si="4"/>
        <v>411.9941927261288</v>
      </c>
    </row>
    <row r="25" spans="1:15">
      <c r="A25" s="18">
        <v>42186</v>
      </c>
      <c r="B25" s="13">
        <f>[1]R!H64+[1]R!H65+[1]R!H66+[1]R!H67+[1]R!H68+[1]R!H69+[1]R!H70</f>
        <v>500000</v>
      </c>
      <c r="C25" s="13">
        <v>0</v>
      </c>
      <c r="D25" s="10">
        <v>0</v>
      </c>
      <c r="E25" s="10">
        <f>'[1]Ingesan Reg.'!F134</f>
        <v>131881.51</v>
      </c>
      <c r="F25" s="12">
        <f>[1]R!H122+[1]R!H123</f>
        <v>200000</v>
      </c>
      <c r="G25" s="12">
        <f>'[1]UTE Reg.'!F27</f>
        <v>591656.48</v>
      </c>
      <c r="H25" s="19">
        <f t="shared" si="5"/>
        <v>5042318.2600000016</v>
      </c>
      <c r="I25" s="10">
        <f t="shared" si="6"/>
        <v>277574.29000000004</v>
      </c>
      <c r="J25" s="12">
        <f t="shared" si="7"/>
        <v>4726753.41</v>
      </c>
      <c r="K25" s="14">
        <f t="shared" si="0"/>
        <v>10046645.960000001</v>
      </c>
      <c r="L25" s="15">
        <f t="shared" si="1"/>
        <v>10046645.960000001</v>
      </c>
      <c r="M25" s="24">
        <f t="shared" si="2"/>
        <v>11.760693538970305</v>
      </c>
      <c r="N25" s="25">
        <f t="shared" si="3"/>
        <v>352.82080616910912</v>
      </c>
      <c r="O25" s="25">
        <f t="shared" si="4"/>
        <v>412.82080616910912</v>
      </c>
    </row>
    <row r="26" spans="1:15">
      <c r="A26" s="18">
        <v>42217</v>
      </c>
      <c r="B26" s="13">
        <v>0</v>
      </c>
      <c r="C26" s="13">
        <f>'[1]Ingesan Reg.'!F90+'[1]Ingesan Reg.'!F91+'[1]Ingesan Reg.'!F92</f>
        <v>376858.9</v>
      </c>
      <c r="D26" s="10">
        <v>0</v>
      </c>
      <c r="E26" s="10">
        <f>'[1]Ingesan Reg.'!F135</f>
        <v>125650.48</v>
      </c>
      <c r="F26" s="12">
        <f>[1]R!H124</f>
        <v>341949.69</v>
      </c>
      <c r="G26" s="12">
        <f>'[1]UTE Reg.'!F28</f>
        <v>610726.36</v>
      </c>
      <c r="H26" s="19">
        <f t="shared" si="5"/>
        <v>5419177.160000002</v>
      </c>
      <c r="I26" s="10">
        <f t="shared" si="6"/>
        <v>403224.77</v>
      </c>
      <c r="J26" s="12">
        <f t="shared" si="7"/>
        <v>4995530.08</v>
      </c>
      <c r="K26" s="14">
        <f t="shared" si="0"/>
        <v>10817932.010000002</v>
      </c>
      <c r="L26" s="15">
        <f t="shared" si="1"/>
        <v>10817932.010000002</v>
      </c>
      <c r="M26" s="24">
        <f t="shared" si="2"/>
        <v>12.663567881417316</v>
      </c>
      <c r="N26" s="25">
        <f t="shared" si="3"/>
        <v>379.90703644251948</v>
      </c>
      <c r="O26" s="25">
        <f t="shared" si="4"/>
        <v>439.90703644251948</v>
      </c>
    </row>
    <row r="27" spans="1:15">
      <c r="A27" s="18">
        <v>42248</v>
      </c>
      <c r="B27" s="13">
        <v>0</v>
      </c>
      <c r="C27" s="13">
        <f>'[1]Ingesan Reg.'!F93+'[1]Ingesan Reg.'!F94+'[1]Ingesan Reg.'!F95+'[1]Ingesan Reg.'!F96+'[1]Ingesan Reg.'!F97+'[1]Ingesan Reg.'!F98</f>
        <v>380017.56</v>
      </c>
      <c r="D27" s="10">
        <v>0</v>
      </c>
      <c r="E27" s="10">
        <f>'[1]Ingesan Reg.'!F136</f>
        <v>134538.71</v>
      </c>
      <c r="F27" s="12">
        <v>0</v>
      </c>
      <c r="G27" s="12">
        <f>'[1]UTE Reg.'!F29</f>
        <v>562938.71</v>
      </c>
      <c r="H27" s="19">
        <f t="shared" si="5"/>
        <v>5799194.7200000016</v>
      </c>
      <c r="I27" s="10">
        <f t="shared" si="6"/>
        <v>537763.48</v>
      </c>
      <c r="J27" s="12">
        <f t="shared" si="7"/>
        <v>5558468.79</v>
      </c>
      <c r="K27" s="14">
        <f t="shared" si="0"/>
        <v>11895426.990000002</v>
      </c>
      <c r="L27" s="15">
        <f t="shared" si="1"/>
        <v>11895426.990000002</v>
      </c>
      <c r="M27" s="24">
        <f t="shared" si="2"/>
        <v>13.924893133646961</v>
      </c>
      <c r="N27" s="25">
        <f t="shared" si="3"/>
        <v>417.74679400940886</v>
      </c>
      <c r="O27" s="25">
        <f t="shared" si="4"/>
        <v>477.74679400940886</v>
      </c>
    </row>
    <row r="28" spans="1:15">
      <c r="A28" s="18">
        <v>42278</v>
      </c>
      <c r="B28" s="13">
        <v>0</v>
      </c>
      <c r="C28" s="13">
        <f>'[1]Ingesan Reg.'!F99+'[1]Ingesan Reg.'!F100+'[1]Ingesan Reg.'!F101+'[1]Ingesan Reg.'!F102+'[1]Ingesan Reg.'!F103+'[1]Ingesan Reg.'!F104+'[1]Ingesan Reg.'!F105</f>
        <v>380415.60999999993</v>
      </c>
      <c r="D28" s="10">
        <v>0</v>
      </c>
      <c r="E28" s="10">
        <f>'[1]Ingesan Reg.'!F137</f>
        <v>149724.06</v>
      </c>
      <c r="F28" s="12">
        <f>[1]R!H125</f>
        <v>361891.14</v>
      </c>
      <c r="G28" s="12">
        <f>'[1]UTE Reg.'!F30+'[1]UTE Reg.'!F31</f>
        <v>549650.42999999993</v>
      </c>
      <c r="H28" s="19">
        <f t="shared" si="5"/>
        <v>6179610.3300000019</v>
      </c>
      <c r="I28" s="10">
        <f t="shared" si="6"/>
        <v>687487.54</v>
      </c>
      <c r="J28" s="12">
        <f t="shared" si="7"/>
        <v>5746228.0800000001</v>
      </c>
      <c r="K28" s="14">
        <f t="shared" si="0"/>
        <v>12613325.950000003</v>
      </c>
      <c r="L28" s="15">
        <f t="shared" si="1"/>
        <v>12613325.950000003</v>
      </c>
      <c r="M28" s="24">
        <f t="shared" si="2"/>
        <v>14.765272071465679</v>
      </c>
      <c r="N28" s="25">
        <f t="shared" si="3"/>
        <v>442.95816214397036</v>
      </c>
      <c r="O28" s="25">
        <f t="shared" si="4"/>
        <v>502.95816214397036</v>
      </c>
    </row>
    <row r="29" spans="1:15">
      <c r="A29" s="18">
        <v>42309</v>
      </c>
      <c r="B29" s="13">
        <v>0</v>
      </c>
      <c r="C29" s="13">
        <f>'[1]Ingesan Reg.'!F106+'[1]Ingesan Reg.'!F107+'[1]Ingesan Reg.'!F108+'[1]Ingesan Reg.'!F109+'[1]Ingesan Reg.'!F110+'[1]Ingesan Reg.'!F111+'[1]Ingesan Reg.'!F112+'[1]Ingesan Reg.'!F113+'[1]Ingesan Reg.'!F114+'[1]Ingesan Reg.'!F115+'[1]Ingesan Reg.'!F116+'[1]Ingesan Reg.'!F117+'[1]Ingesan Reg.'!F118</f>
        <v>759552.27</v>
      </c>
      <c r="D29" s="10">
        <v>0</v>
      </c>
      <c r="E29" s="10">
        <f>'[1]Ingesan Reg.'!F138</f>
        <v>154121.71</v>
      </c>
      <c r="F29" s="12">
        <v>0</v>
      </c>
      <c r="G29" s="12">
        <f>'[1]UTE Reg.'!F32</f>
        <v>545231.31000000006</v>
      </c>
      <c r="H29" s="19">
        <f t="shared" si="5"/>
        <v>6939162.6000000015</v>
      </c>
      <c r="I29" s="10">
        <f t="shared" si="6"/>
        <v>841609.25</v>
      </c>
      <c r="J29" s="12">
        <f t="shared" si="7"/>
        <v>6291459.3900000006</v>
      </c>
      <c r="K29" s="14">
        <f t="shared" si="0"/>
        <v>14072231.240000002</v>
      </c>
      <c r="L29" s="15">
        <f t="shared" si="1"/>
        <v>14072231.240000002</v>
      </c>
      <c r="M29" s="24">
        <f t="shared" si="2"/>
        <v>16.47307964091571</v>
      </c>
      <c r="N29" s="25">
        <f t="shared" si="3"/>
        <v>494.19238922747132</v>
      </c>
      <c r="O29" s="25">
        <f t="shared" si="4"/>
        <v>554.19238922747127</v>
      </c>
    </row>
    <row r="30" spans="1:15">
      <c r="A30" s="18">
        <v>42339</v>
      </c>
      <c r="B30" s="13">
        <f>SUM([1]R!I71+[1]R!I72+[1]R!I73+[1]R!I74+[1]R!I75+[1]R!I76+[1]R!I77+[1]R!I78+[1]R!I79+[1]R!I80+[1]R!I81+[1]R!I82+[1]R!I83+[1]R!I84+[1]R!I85+[1]R!I86+[1]R!I87+[1]R!I88+[1]R!I89+[1]R!I90+[1]R!I91+[1]R!I92+[1]R!I93+[1]R!I94+[1]R!I95+[1]R!I96)</f>
        <v>3511509.6100000013</v>
      </c>
      <c r="C30" s="13">
        <f>SUM('[1]Ingesan Reg.'!F119+'[1]Ingesan Reg.'!F120+'[1]Ingesan Reg.'!F121+'[1]Ingesan Reg.'!F122+'[1]Ingesan Reg.'!F123+'[1]Ingesan Reg.'!F124+'[1]Ingesan Reg.'!F125+'[1]Ingesan Reg.'!F126)</f>
        <v>380800.8</v>
      </c>
      <c r="D30" s="10">
        <v>0</v>
      </c>
      <c r="E30" s="10">
        <f>'[1]Ingesan Reg.'!F139</f>
        <v>104454.77</v>
      </c>
      <c r="F30" s="12">
        <f>SUM([1]R!I126+[1]R!I127+[1]R!I128+[1]R!I129+[1]R!I130+[1]R!I131+[1]R!I132+[1]R!I133+[1]R!I134+[1]R!I135+[1]R!I136+[1]R!I137)</f>
        <v>2140695.1700000004</v>
      </c>
      <c r="G30" s="12">
        <f>'[1]UTE Reg.'!F33+'[1]UTE Reg.'!F34</f>
        <v>543409.49</v>
      </c>
      <c r="H30" s="19">
        <f t="shared" si="5"/>
        <v>3808453.79</v>
      </c>
      <c r="I30" s="10">
        <f t="shared" si="6"/>
        <v>946064.02</v>
      </c>
      <c r="J30" s="12">
        <f t="shared" si="7"/>
        <v>4694173.7100000009</v>
      </c>
      <c r="K30" s="14">
        <f t="shared" si="0"/>
        <v>9448691.5200000014</v>
      </c>
      <c r="L30" s="15">
        <f t="shared" si="1"/>
        <v>9448691.5200000014</v>
      </c>
      <c r="M30" s="24">
        <f t="shared" si="2"/>
        <v>11.060722728104126</v>
      </c>
      <c r="N30" s="25">
        <f t="shared" si="3"/>
        <v>331.82168184312377</v>
      </c>
      <c r="O30" s="25">
        <f t="shared" si="4"/>
        <v>391.82168184312377</v>
      </c>
    </row>
    <row r="31" spans="1:15">
      <c r="A31" s="18">
        <v>42370</v>
      </c>
      <c r="B31" s="13">
        <v>0</v>
      </c>
      <c r="C31" s="13">
        <f>'[1]Ingesan Reg.'!F157</f>
        <v>754457.82000000007</v>
      </c>
      <c r="D31" s="10">
        <v>0</v>
      </c>
      <c r="E31" s="10">
        <f>'[1]Ingesan Reg.'!F161</f>
        <v>163194.79</v>
      </c>
      <c r="F31" s="12">
        <f>[1]R!H156+[1]R!H157+[1]R!H158+[1]R!H159+[1]R!H160+[1]R!H161+[1]R!H162+[1]R!H163+[1]R!H164+[1]R!H165+[1]R!H166+[1]R!H167+[1]R!H168+[1]R!H169</f>
        <v>2412591.5499999998</v>
      </c>
      <c r="G31" s="12">
        <f>'[1]UTE Reg.'!F41</f>
        <v>520177.2</v>
      </c>
      <c r="H31" s="19">
        <f t="shared" si="5"/>
        <v>4562911.6100000003</v>
      </c>
      <c r="I31" s="10">
        <f t="shared" si="6"/>
        <v>1109258.81</v>
      </c>
      <c r="J31" s="12">
        <f t="shared" si="7"/>
        <v>2801759.3600000013</v>
      </c>
      <c r="K31" s="14">
        <f t="shared" si="0"/>
        <v>8473929.7800000012</v>
      </c>
      <c r="L31" s="15">
        <f t="shared" si="1"/>
        <v>8473929.7800000012</v>
      </c>
      <c r="M31" s="24">
        <f t="shared" si="2"/>
        <v>9.9196579246566845</v>
      </c>
      <c r="N31" s="25">
        <f t="shared" si="3"/>
        <v>297.58973773970052</v>
      </c>
      <c r="O31" s="25">
        <f t="shared" si="4"/>
        <v>357.58973773970052</v>
      </c>
    </row>
    <row r="32" spans="1:15">
      <c r="A32" s="18">
        <v>42401</v>
      </c>
      <c r="B32" s="13">
        <f>SUM([1]R!I143+[1]R!I144+[1]R!I145+[1]R!I146+[1]R!I147+[1]R!I148+[1]R!I149+[1]R!I150+[1]R!I151+[1]R!I152)</f>
        <v>1113780.75</v>
      </c>
      <c r="C32" s="13">
        <f>SUM('[1]Ingesan Reg.'!F151+'[1]Ingesan Reg.'!F152+'[1]Ingesan Reg.'!F153+'[1]Ingesan Reg.'!F154+'[1]Ingesan Reg.'!F155+'[1]Ingesan Reg.'!F156)</f>
        <v>382007.73000000004</v>
      </c>
      <c r="D32" s="10">
        <v>0</v>
      </c>
      <c r="E32" s="10">
        <v>0</v>
      </c>
      <c r="F32" s="12">
        <v>0</v>
      </c>
      <c r="G32" s="12">
        <f>'[1]UTE Reg.'!F42</f>
        <v>552448.71</v>
      </c>
      <c r="H32" s="19">
        <f t="shared" si="5"/>
        <v>3831138.5900000008</v>
      </c>
      <c r="I32" s="10">
        <f t="shared" si="6"/>
        <v>1109258.81</v>
      </c>
      <c r="J32" s="12">
        <f t="shared" si="7"/>
        <v>3354208.0700000012</v>
      </c>
      <c r="K32" s="14">
        <f t="shared" si="0"/>
        <v>8294605.4700000016</v>
      </c>
      <c r="L32" s="15">
        <f t="shared" si="1"/>
        <v>8294605.4700000016</v>
      </c>
      <c r="M32" s="24">
        <f t="shared" si="2"/>
        <v>9.7097392849042681</v>
      </c>
      <c r="N32" s="25">
        <f t="shared" si="3"/>
        <v>291.29217854712806</v>
      </c>
      <c r="O32" s="25">
        <f t="shared" si="4"/>
        <v>351.29217854712806</v>
      </c>
    </row>
    <row r="33" spans="1:15">
      <c r="A33" s="18">
        <v>42430</v>
      </c>
      <c r="B33" s="13">
        <v>0</v>
      </c>
      <c r="C33" s="13">
        <v>0</v>
      </c>
      <c r="D33" s="10">
        <v>0</v>
      </c>
      <c r="E33" s="10">
        <v>0</v>
      </c>
      <c r="F33" s="12">
        <f>SUM([1]R!I170+[1]R!I171)</f>
        <v>190000</v>
      </c>
      <c r="G33" s="12">
        <f>'[1]UTE Reg.'!F43</f>
        <v>1072625.9099999999</v>
      </c>
      <c r="H33" s="19">
        <f t="shared" si="5"/>
        <v>3831138.5900000008</v>
      </c>
      <c r="I33" s="10">
        <f t="shared" si="6"/>
        <v>1109258.81</v>
      </c>
      <c r="J33" s="12">
        <f t="shared" si="7"/>
        <v>4236833.9800000014</v>
      </c>
      <c r="K33" s="14">
        <f t="shared" si="0"/>
        <v>9177231.3800000027</v>
      </c>
      <c r="L33" s="15">
        <f t="shared" si="1"/>
        <v>9177231.3800000027</v>
      </c>
      <c r="M33" s="24">
        <f t="shared" si="2"/>
        <v>10.742949062415409</v>
      </c>
      <c r="N33" s="25">
        <f t="shared" si="3"/>
        <v>322.28847187246225</v>
      </c>
      <c r="O33" s="25">
        <f t="shared" si="4"/>
        <v>382.28847187246225</v>
      </c>
    </row>
    <row r="34" spans="1:15">
      <c r="A34" s="18">
        <v>42461</v>
      </c>
      <c r="B34" s="13">
        <v>0</v>
      </c>
      <c r="C34" s="13">
        <v>0</v>
      </c>
      <c r="D34" s="10">
        <v>0</v>
      </c>
      <c r="E34" s="10">
        <v>0</v>
      </c>
      <c r="F34" s="12">
        <v>0</v>
      </c>
      <c r="G34" s="12">
        <f>'[1]UTE Reg.'!F44</f>
        <v>0</v>
      </c>
      <c r="H34" s="19">
        <f t="shared" si="5"/>
        <v>3831138.5900000008</v>
      </c>
      <c r="I34" s="10">
        <f t="shared" si="6"/>
        <v>1109258.81</v>
      </c>
      <c r="J34" s="12">
        <f t="shared" si="7"/>
        <v>4236833.9800000014</v>
      </c>
      <c r="K34" s="14">
        <f t="shared" si="0"/>
        <v>9177231.3800000027</v>
      </c>
      <c r="L34" s="15">
        <f t="shared" si="1"/>
        <v>9177231.3800000027</v>
      </c>
      <c r="M34" s="24">
        <f t="shared" si="2"/>
        <v>10.742949062415409</v>
      </c>
      <c r="N34" s="25">
        <f t="shared" si="3"/>
        <v>322.28847187246225</v>
      </c>
      <c r="O34" s="25">
        <f t="shared" si="4"/>
        <v>382.28847187246225</v>
      </c>
    </row>
    <row r="35" spans="1:15">
      <c r="A35" s="18">
        <v>42491</v>
      </c>
      <c r="B35" s="13"/>
      <c r="C35" s="13"/>
      <c r="D35" s="10"/>
      <c r="E35" s="10"/>
      <c r="F35" s="12"/>
      <c r="G35" s="12"/>
      <c r="H35" s="19"/>
      <c r="I35" s="10"/>
      <c r="J35" s="12"/>
      <c r="K35" s="14"/>
      <c r="L35" s="15"/>
      <c r="M35" s="24"/>
      <c r="N35" s="25"/>
      <c r="O35" s="25"/>
    </row>
    <row r="36" spans="1:15">
      <c r="A36" s="18">
        <v>42522</v>
      </c>
      <c r="B36" s="13"/>
      <c r="C36" s="13"/>
      <c r="D36" s="10"/>
      <c r="E36" s="10"/>
      <c r="F36" s="12"/>
      <c r="G36" s="12"/>
      <c r="H36" s="19"/>
      <c r="I36" s="10"/>
      <c r="J36" s="12"/>
      <c r="K36" s="14"/>
      <c r="L36" s="15"/>
      <c r="M36" s="24"/>
      <c r="N36" s="25"/>
      <c r="O36" s="25"/>
    </row>
    <row r="37" spans="1:15">
      <c r="A37" s="18">
        <v>42552</v>
      </c>
      <c r="B37" s="13"/>
      <c r="C37" s="13"/>
      <c r="D37" s="10"/>
      <c r="E37" s="10"/>
      <c r="F37" s="12"/>
      <c r="G37" s="12"/>
      <c r="H37" s="19"/>
      <c r="I37" s="10"/>
      <c r="J37" s="12"/>
      <c r="K37" s="14"/>
      <c r="L37" s="15"/>
      <c r="M37" s="24"/>
      <c r="N37" s="25"/>
      <c r="O37" s="25"/>
    </row>
    <row r="38" spans="1:15">
      <c r="A38" s="18">
        <v>42583</v>
      </c>
      <c r="B38" s="13"/>
      <c r="C38" s="13"/>
      <c r="D38" s="10"/>
      <c r="E38" s="10"/>
      <c r="F38" s="12"/>
      <c r="G38" s="12"/>
      <c r="H38" s="19"/>
      <c r="I38" s="10"/>
      <c r="J38" s="12"/>
      <c r="K38" s="14"/>
      <c r="L38" s="15"/>
      <c r="M38" s="24"/>
      <c r="N38" s="25"/>
      <c r="O38" s="25"/>
    </row>
    <row r="39" spans="1:15">
      <c r="A39" s="18">
        <v>42614</v>
      </c>
      <c r="B39" s="13"/>
      <c r="C39" s="13"/>
      <c r="D39" s="10"/>
      <c r="E39" s="10"/>
      <c r="F39" s="12"/>
      <c r="G39" s="12"/>
      <c r="H39" s="19"/>
      <c r="I39" s="10"/>
      <c r="J39" s="12"/>
      <c r="K39" s="14"/>
      <c r="L39" s="15"/>
      <c r="M39" s="24"/>
      <c r="N39" s="25"/>
      <c r="O39" s="25"/>
    </row>
    <row r="40" spans="1:15">
      <c r="A40" s="18">
        <v>42644</v>
      </c>
      <c r="B40" s="13"/>
      <c r="C40" s="13"/>
      <c r="D40" s="10"/>
      <c r="E40" s="10"/>
      <c r="F40" s="12"/>
      <c r="G40" s="12"/>
      <c r="H40" s="19"/>
      <c r="I40" s="10"/>
      <c r="J40" s="12"/>
      <c r="K40" s="14"/>
      <c r="L40" s="15"/>
      <c r="M40" s="24"/>
      <c r="N40" s="25"/>
      <c r="O40" s="25"/>
    </row>
    <row r="41" spans="1:15">
      <c r="A41" s="18">
        <v>42675</v>
      </c>
      <c r="B41" s="13"/>
      <c r="C41" s="13"/>
      <c r="D41" s="10"/>
      <c r="E41" s="10"/>
      <c r="F41" s="12"/>
      <c r="G41" s="12"/>
      <c r="H41" s="19"/>
      <c r="I41" s="10"/>
      <c r="J41" s="12"/>
      <c r="K41" s="14"/>
      <c r="L41" s="15"/>
      <c r="M41" s="24"/>
      <c r="N41" s="25"/>
      <c r="O41" s="25"/>
    </row>
    <row r="42" spans="1:15">
      <c r="A42" s="18">
        <v>42705</v>
      </c>
      <c r="B42" s="13"/>
      <c r="C42" s="13"/>
      <c r="D42" s="10"/>
      <c r="E42" s="10"/>
      <c r="F42" s="12"/>
      <c r="G42" s="12"/>
      <c r="H42" s="19"/>
      <c r="I42" s="10"/>
      <c r="J42" s="12"/>
      <c r="K42" s="14"/>
      <c r="L42" s="15"/>
      <c r="M42" s="24"/>
      <c r="N42" s="25"/>
      <c r="O42" s="25"/>
    </row>
    <row r="43" spans="1:15">
      <c r="A43" s="27"/>
      <c r="B43" s="28">
        <f t="shared" ref="B43:G43" si="8">SUM(B7:B42)</f>
        <v>7801107.4700000007</v>
      </c>
      <c r="C43" s="28">
        <f t="shared" si="8"/>
        <v>10181572.460000003</v>
      </c>
      <c r="D43" s="28">
        <f t="shared" si="8"/>
        <v>0</v>
      </c>
      <c r="E43" s="28">
        <f t="shared" si="8"/>
        <v>1109258.81</v>
      </c>
      <c r="F43" s="28">
        <f t="shared" si="8"/>
        <v>11821031.23</v>
      </c>
      <c r="G43" s="28">
        <f t="shared" si="8"/>
        <v>14728037.770000003</v>
      </c>
      <c r="H43" s="29"/>
      <c r="I43" s="29"/>
      <c r="J43" s="29"/>
      <c r="K43" s="29"/>
      <c r="L43" s="29"/>
      <c r="M43" s="30"/>
      <c r="N43" s="30"/>
      <c r="O43" s="30"/>
    </row>
    <row r="44" spans="1:15">
      <c r="D44" s="15"/>
      <c r="E44" s="15"/>
      <c r="G44" s="15"/>
    </row>
    <row r="45" spans="1:15">
      <c r="C45" s="15"/>
      <c r="H45" s="3" t="s">
        <v>16</v>
      </c>
      <c r="J45" s="31"/>
    </row>
    <row r="46" spans="1:15">
      <c r="A46" t="s">
        <v>16</v>
      </c>
      <c r="B46" s="32">
        <v>2780501.04</v>
      </c>
      <c r="C46" s="33" t="s">
        <v>17</v>
      </c>
      <c r="H46" s="31" t="s">
        <v>18</v>
      </c>
      <c r="I46" s="34"/>
      <c r="J46" s="34">
        <f>+C43/26</f>
        <v>391598.94076923089</v>
      </c>
    </row>
    <row r="47" spans="1:15">
      <c r="A47" s="35">
        <v>2014</v>
      </c>
      <c r="B47" s="32">
        <f>SUM(C7:C18,G7:G18)</f>
        <v>10460466.510000002</v>
      </c>
      <c r="H47" s="31" t="s">
        <v>19</v>
      </c>
      <c r="I47" s="34"/>
      <c r="J47" s="15">
        <f>+E43/9</f>
        <v>123250.9788888889</v>
      </c>
    </row>
    <row r="48" spans="1:15">
      <c r="A48" s="35">
        <v>2015</v>
      </c>
      <c r="B48" s="32">
        <f>SUM(C19:C30,G19:G30,E19:E30)</f>
        <v>12113490.370000001</v>
      </c>
      <c r="F48" s="15"/>
      <c r="H48" t="s">
        <v>20</v>
      </c>
      <c r="I48" s="34"/>
      <c r="J48" s="34">
        <f>+G43/27</f>
        <v>545482.88037037046</v>
      </c>
    </row>
    <row r="49" spans="1:15">
      <c r="A49" s="35">
        <v>2016</v>
      </c>
      <c r="B49" s="32">
        <f>SUM(C31+C32+E31+E32+G31+G32+G33)</f>
        <v>3444912.16</v>
      </c>
      <c r="F49" s="15"/>
      <c r="I49" s="34"/>
      <c r="J49" s="34"/>
    </row>
    <row r="50" spans="1:15">
      <c r="B50" s="36">
        <f>SUM(B46:B49)</f>
        <v>28799370.080000002</v>
      </c>
      <c r="F50" s="15"/>
      <c r="H50" s="3" t="s">
        <v>21</v>
      </c>
      <c r="I50" s="37"/>
      <c r="J50" s="37">
        <f>SUM(J46:J48)</f>
        <v>1060332.8000284904</v>
      </c>
      <c r="K50" s="15"/>
    </row>
    <row r="51" spans="1:15">
      <c r="A51" t="s">
        <v>22</v>
      </c>
    </row>
    <row r="52" spans="1:15">
      <c r="A52" s="35">
        <v>2014</v>
      </c>
      <c r="B52" s="32">
        <f>SUM(B7:B18,F7:F18)</f>
        <v>5694665.3799999999</v>
      </c>
      <c r="F52" s="15"/>
    </row>
    <row r="53" spans="1:15">
      <c r="A53" s="35">
        <v>2015</v>
      </c>
      <c r="B53" s="32">
        <f>SUM(B19:B30,F19:F30,D19:D30)</f>
        <v>10211101.020000001</v>
      </c>
      <c r="F53" s="15"/>
    </row>
    <row r="54" spans="1:15">
      <c r="A54" s="35">
        <v>2016</v>
      </c>
      <c r="B54" s="32">
        <f>SUM(B31+F31+B32+F33)</f>
        <v>3716372.3</v>
      </c>
      <c r="F54" s="15"/>
    </row>
    <row r="55" spans="1:15" s="15" customFormat="1">
      <c r="B55" s="36">
        <f>SUM(B52:B54)</f>
        <v>19622138.700000003</v>
      </c>
      <c r="C55" s="17"/>
      <c r="K55" s="31"/>
      <c r="L55" s="31"/>
      <c r="N55" s="17"/>
      <c r="O55" s="17"/>
    </row>
    <row r="56" spans="1:15">
      <c r="A56" s="15"/>
      <c r="C56" s="37">
        <f>B50-B55</f>
        <v>9177231.379999999</v>
      </c>
      <c r="K56" s="31"/>
      <c r="L56" s="31"/>
      <c r="N56" s="17"/>
      <c r="O56" s="17"/>
    </row>
    <row r="57" spans="1:15">
      <c r="A57" s="15"/>
      <c r="C57" s="17"/>
      <c r="K57" s="31"/>
      <c r="L57" s="31"/>
      <c r="N57" s="17"/>
      <c r="O57" s="17"/>
    </row>
    <row r="58" spans="1:15">
      <c r="A58" s="15"/>
      <c r="C58" s="17"/>
      <c r="K58" s="31"/>
      <c r="L58" s="31"/>
      <c r="N58" s="17"/>
      <c r="O58" s="17"/>
    </row>
    <row r="59" spans="1:15">
      <c r="A59" s="15"/>
      <c r="C59" s="17"/>
      <c r="K59" s="31"/>
      <c r="L59" s="31"/>
      <c r="N59" s="17"/>
      <c r="O59" s="17"/>
    </row>
    <row r="60" spans="1:15">
      <c r="A60" s="15"/>
      <c r="C60" s="17"/>
      <c r="K60" s="31"/>
      <c r="L60" s="31"/>
      <c r="N60" s="17"/>
      <c r="O60" s="17"/>
    </row>
    <row r="61" spans="1:15">
      <c r="A61" s="15"/>
      <c r="C61" s="17"/>
      <c r="K61" s="31"/>
      <c r="L61" s="31"/>
      <c r="N61" s="17"/>
      <c r="O61" s="17"/>
    </row>
    <row r="62" spans="1:15">
      <c r="A62" s="1" t="s">
        <v>23</v>
      </c>
      <c r="B62" s="1" t="s">
        <v>24</v>
      </c>
      <c r="C62" s="38" t="s">
        <v>25</v>
      </c>
      <c r="K62" s="31"/>
      <c r="L62" s="31"/>
      <c r="N62" s="17"/>
      <c r="O62" s="17"/>
    </row>
    <row r="63" spans="1:15">
      <c r="B63" t="s">
        <v>26</v>
      </c>
      <c r="G63" t="s">
        <v>27</v>
      </c>
    </row>
    <row r="64" spans="1:15">
      <c r="B64" t="s">
        <v>28</v>
      </c>
    </row>
    <row r="65" spans="2:2">
      <c r="B65" t="s">
        <v>29</v>
      </c>
    </row>
  </sheetData>
  <pageMargins left="0.74803149606299213" right="0.74803149606299213" top="0.98425196850393704" bottom="0.98425196850393704" header="0.51181102362204722" footer="0.51181102362204722"/>
  <pageSetup paperSize="9" scale="68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ELSAN</vt:lpstr>
      <vt:lpstr>INGESAN Y SAD</vt:lpstr>
      <vt:lpstr>ELSAN!Área_de_impresión</vt:lpstr>
      <vt:lpstr>'INGESAN Y SAD'!Área_de_impresión</vt:lpstr>
      <vt:lpstr>ELSAN!Print_Area_0</vt:lpstr>
      <vt:lpstr>'INGESAN Y SAD'!Print_Area_0</vt:lpstr>
      <vt:lpstr>'INGESAN Y SAD'!Print_Area_0_0</vt:lpstr>
    </vt:vector>
  </TitlesOfParts>
  <Company>Jesytel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rafaelct</dc:creator>
  <cp:lastModifiedBy>rafaelct</cp:lastModifiedBy>
  <cp:lastPrinted>2016-03-31T12:15:48Z</cp:lastPrinted>
  <dcterms:created xsi:type="dcterms:W3CDTF">2016-03-31T12:11:16Z</dcterms:created>
  <dcterms:modified xsi:type="dcterms:W3CDTF">2016-03-31T12:16:57Z</dcterms:modified>
</cp:coreProperties>
</file>